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guich01\OneDrive - Ministère de l'Environnement et la Lutte contre les changements climatiques\Bureau\"/>
    </mc:Choice>
  </mc:AlternateContent>
  <xr:revisionPtr revIDLastSave="0" documentId="13_ncr:1_{885D2B4D-5967-4745-AD59-6245A85CFA27}" xr6:coauthVersionLast="47" xr6:coauthVersionMax="47" xr10:uidLastSave="{00000000-0000-0000-0000-000000000000}"/>
  <bookViews>
    <workbookView xWindow="-108" yWindow="-108" windowWidth="23256" windowHeight="12576" xr2:uid="{00000000-000D-0000-FFFF-FFFF00000000}"/>
  </bookViews>
  <sheets>
    <sheet name="Instructions" sheetId="4" r:id="rId1"/>
    <sheet name="Tableau CQES" sheetId="1" r:id="rId2"/>
    <sheet name="Facteurs de conversion dissous" sheetId="5" r:id="rId3"/>
  </sheets>
  <definedNames>
    <definedName name="Dureté" localSheetId="2">'Facteurs de conversion dissous'!#REF!</definedName>
    <definedName name="Dureté">'Tableau CQES'!$F$9</definedName>
    <definedName name="_xlnm.Print_Area" localSheetId="2">'Facteurs de conversion dissous'!$A$1:$F$23</definedName>
    <definedName name="_xlnm.Print_Area" localSheetId="0">Instructions!$A$1:$L$55</definedName>
    <definedName name="_xlnm.Print_Area" localSheetId="1">'Tableau CQES'!$A$1:$N$42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5" l="1"/>
  <c r="I35" i="1" l="1"/>
  <c r="H35" i="1"/>
  <c r="E35" i="1"/>
  <c r="A9" i="1" l="1"/>
  <c r="B5" i="5"/>
  <c r="B11" i="5"/>
  <c r="I18" i="1" l="1"/>
  <c r="H18" i="1"/>
  <c r="E18" i="1"/>
  <c r="B33" i="1"/>
  <c r="D11" i="5" l="1"/>
  <c r="D18" i="1"/>
  <c r="G19" i="4"/>
  <c r="G36" i="1"/>
  <c r="G34" i="1"/>
  <c r="G32" i="1"/>
  <c r="G18" i="1"/>
  <c r="G16" i="1"/>
  <c r="G14" i="1"/>
  <c r="G13" i="1"/>
  <c r="D36" i="1"/>
  <c r="D34" i="1"/>
  <c r="D32" i="1"/>
  <c r="D29" i="1"/>
  <c r="D28" i="1"/>
  <c r="D26" i="1"/>
  <c r="D25" i="1"/>
  <c r="D23" i="1"/>
  <c r="D22" i="1"/>
  <c r="D19" i="1"/>
  <c r="D16" i="1"/>
  <c r="D15" i="1"/>
  <c r="D13" i="1"/>
  <c r="I16" i="1"/>
  <c r="H16" i="1"/>
  <c r="I13" i="1"/>
  <c r="H13" i="1"/>
  <c r="I19" i="1"/>
  <c r="H19" i="1"/>
  <c r="E19" i="1"/>
  <c r="E16" i="1"/>
  <c r="E15" i="1"/>
  <c r="E13" i="1"/>
  <c r="I36" i="1"/>
  <c r="H36" i="1"/>
  <c r="I34" i="1"/>
  <c r="H34" i="1"/>
  <c r="I33" i="1"/>
  <c r="H33" i="1"/>
  <c r="I32" i="1"/>
  <c r="H32" i="1"/>
  <c r="E34" i="1"/>
  <c r="E33" i="1"/>
  <c r="E32" i="1"/>
  <c r="E36" i="1"/>
  <c r="I29" i="1"/>
  <c r="H29" i="1"/>
  <c r="G29" i="1"/>
  <c r="E29" i="1"/>
  <c r="I28" i="1"/>
  <c r="H28" i="1"/>
  <c r="G28" i="1"/>
  <c r="F28" i="1"/>
  <c r="E28" i="1"/>
  <c r="I26" i="1"/>
  <c r="H26" i="1"/>
  <c r="E26" i="1"/>
  <c r="I25" i="1"/>
  <c r="H25" i="1"/>
  <c r="E25" i="1"/>
  <c r="I23" i="1"/>
  <c r="H23" i="1"/>
  <c r="E23" i="1"/>
  <c r="I22" i="1"/>
  <c r="H22" i="1"/>
  <c r="G22" i="1"/>
  <c r="E22" i="1"/>
  <c r="N37" i="1"/>
  <c r="M37" i="1"/>
  <c r="K37" i="1"/>
  <c r="J37" i="1"/>
  <c r="J34" i="1"/>
  <c r="N32" i="1"/>
  <c r="M32" i="1"/>
  <c r="K32" i="1"/>
  <c r="J32" i="1"/>
  <c r="N31" i="1"/>
  <c r="M31" i="1"/>
  <c r="K31" i="1"/>
  <c r="N30" i="1"/>
  <c r="M30" i="1"/>
  <c r="K30" i="1"/>
  <c r="J30" i="1"/>
  <c r="N28" i="1"/>
  <c r="M28" i="1"/>
  <c r="L28" i="1"/>
  <c r="K28" i="1"/>
  <c r="J28" i="1"/>
  <c r="N24" i="1"/>
  <c r="M24" i="1"/>
  <c r="K24" i="1"/>
  <c r="N22" i="1"/>
  <c r="M22" i="1"/>
  <c r="K22" i="1"/>
  <c r="N20" i="1"/>
  <c r="M20" i="1"/>
  <c r="K20" i="1"/>
  <c r="K19" i="1"/>
  <c r="N16" i="1"/>
  <c r="M16" i="1"/>
  <c r="K16" i="1"/>
  <c r="J16" i="1"/>
  <c r="N15" i="1"/>
  <c r="M15" i="1"/>
  <c r="N14" i="1"/>
  <c r="M14" i="1"/>
  <c r="K14" i="1"/>
  <c r="J13" i="1"/>
  <c r="C37" i="1"/>
  <c r="B37" i="1"/>
  <c r="B36" i="1"/>
  <c r="B35" i="1"/>
  <c r="C34" i="1"/>
  <c r="B34" i="1"/>
  <c r="C32" i="1"/>
  <c r="B32" i="1"/>
  <c r="B31" i="1"/>
  <c r="C30" i="1"/>
  <c r="B30" i="1"/>
  <c r="B29" i="1"/>
  <c r="C28" i="1"/>
  <c r="B28" i="1"/>
  <c r="B27" i="1"/>
  <c r="B26" i="1"/>
  <c r="B25" i="1"/>
  <c r="B24" i="1"/>
  <c r="B22" i="1"/>
  <c r="B21" i="1"/>
  <c r="B20" i="1"/>
  <c r="B19" i="1"/>
  <c r="B18" i="1"/>
  <c r="B17" i="1"/>
  <c r="C16" i="1"/>
  <c r="B16" i="1"/>
  <c r="B15" i="1"/>
  <c r="C13" i="1"/>
  <c r="B13" i="1"/>
  <c r="B12" i="1"/>
  <c r="C12" i="1"/>
  <c r="E12" i="1"/>
  <c r="F12" i="1"/>
  <c r="H12" i="1"/>
  <c r="I12" i="1"/>
  <c r="J12" i="1"/>
  <c r="K12" i="1"/>
  <c r="L12" i="1"/>
  <c r="M12" i="1"/>
  <c r="N12" i="1"/>
  <c r="I24" i="1" l="1"/>
  <c r="G27" i="1"/>
  <c r="H24" i="1"/>
  <c r="E27" i="1"/>
  <c r="I20" i="1"/>
  <c r="D27" i="1"/>
  <c r="G15" i="1"/>
  <c r="H17" i="1"/>
  <c r="I30" i="1"/>
  <c r="G20" i="1"/>
  <c r="G30" i="1"/>
  <c r="D17" i="1"/>
  <c r="D24" i="1"/>
  <c r="D37" i="1"/>
  <c r="G24" i="1"/>
  <c r="G37" i="1"/>
  <c r="E17" i="1"/>
  <c r="E24" i="1"/>
  <c r="E37" i="1"/>
  <c r="H21" i="1"/>
  <c r="H31" i="1"/>
  <c r="I27" i="1"/>
  <c r="I37" i="1"/>
  <c r="D30" i="1"/>
  <c r="H15" i="1"/>
  <c r="E20" i="1"/>
  <c r="E30" i="1"/>
  <c r="H27" i="1"/>
  <c r="H37" i="1"/>
  <c r="I21" i="1"/>
  <c r="I31" i="1"/>
  <c r="D20" i="1"/>
  <c r="D21" i="1"/>
  <c r="D31" i="1"/>
  <c r="G21" i="1"/>
  <c r="G31" i="1"/>
  <c r="I15" i="1"/>
  <c r="E21" i="1"/>
  <c r="E31" i="1"/>
  <c r="H20" i="1"/>
  <c r="H30" i="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pelfr02</author>
    <author>MDDEP</author>
    <author>France Pelletier</author>
  </authors>
  <commentList>
    <comment ref="B13" authorId="0" shapeId="0" xr:uid="{00000000-0006-0000-0100-000001000000}">
      <text>
        <r>
          <rPr>
            <sz val="12"/>
            <color indexed="9"/>
            <rFont val="Arial"/>
            <family val="2"/>
          </rPr>
          <t>Ce critère de qualité est qualifié de provisoire.
Cette concentration est une concentration maximale acceptable (CMA) définie pour l'eau potable.</t>
        </r>
      </text>
    </comment>
    <comment ref="B15" authorId="0" shapeId="0" xr:uid="{00000000-0006-0000-0100-000002000000}">
      <text>
        <r>
          <rPr>
            <sz val="12"/>
            <color indexed="9"/>
            <rFont val="Arial"/>
            <family val="2"/>
          </rPr>
          <t>Ce critère de qualité a été défini à partir d'un problème esthétique cutané nommé argyria.
Cette valeur est définie pour l'eau potable.</t>
        </r>
      </text>
    </comment>
    <comment ref="I15" authorId="0" shapeId="0" xr:uid="{00000000-0006-0000-0100-000003000000}">
      <text>
        <r>
          <rPr>
            <sz val="12"/>
            <color indexed="9"/>
            <rFont val="Arial"/>
            <family val="2"/>
          </rPr>
          <t>La valeur originale, provenant de U.S.EPA 1980, a été divisée par deux pour se conformer aux principes actuels d'estimation du critère de qualité de toxicité aiguë.</t>
        </r>
      </text>
    </comment>
    <comment ref="N15" authorId="0" shapeId="0" xr:uid="{00000000-0006-0000-0100-000004000000}">
      <text>
        <r>
          <rPr>
            <sz val="12"/>
            <color indexed="9"/>
            <rFont val="Arial"/>
            <family val="2"/>
          </rPr>
          <t>La valeur originale, provenant de U.S.EPA 1980, a été divisée par deux pour se conformer aux principes actuels d'estimation du critère de qualité de toxicité aiguë.</t>
        </r>
      </text>
    </comment>
    <comment ref="B16" authorId="0" shapeId="0" xr:uid="{00000000-0006-0000-0100-000005000000}">
      <text>
        <r>
          <rPr>
            <b/>
            <sz val="12"/>
            <color indexed="9"/>
            <rFont val="Arial"/>
            <family val="2"/>
          </rPr>
          <t>0,0003 mg/L</t>
        </r>
        <r>
          <rPr>
            <sz val="12"/>
            <color indexed="9"/>
            <rFont val="Arial"/>
            <family val="2"/>
          </rPr>
          <t xml:space="preserve">: Cette concentration d'arsenic représente un risque sanitaire « essentiellement négligeable ». Santé Canada défini le terme « essentiellement négligeable » comme étant une plage allant d’un cas de cancer de plus que le niveau de fond pour 100 000 personnes à un cas de cancer de plus que le niveau de fond pour 1 million de personnes (p. ex., 10-5 à 10-6) suite à une exposition durant 70 ans.
Certaines eaux de surface de bonne qualité peuvent contenir des concentrations naturelles plus élevées que le critère de qualité.
</t>
        </r>
        <r>
          <rPr>
            <b/>
            <sz val="12"/>
            <color indexed="9"/>
            <rFont val="Arial"/>
            <family val="2"/>
          </rPr>
          <t>0,01 mg/L</t>
        </r>
        <r>
          <rPr>
            <sz val="12"/>
            <color indexed="9"/>
            <rFont val="Arial"/>
            <family val="2"/>
          </rPr>
          <t xml:space="preserve"> :  Cette concentration est une concentration maximale acceptable (CMA) définie pour l'eau potable.
Il faut déployer tous les efforts possibles pour maintenir les concentrations d'arsenic dans l'eau potable au niveau le plus bas qu'il soit raisonnablement possible d'atteindre.</t>
        </r>
      </text>
    </comment>
    <comment ref="C16" authorId="0" shapeId="0" xr:uid="{00000000-0006-0000-0100-000006000000}">
      <text>
        <r>
          <rPr>
            <sz val="12"/>
            <color indexed="9"/>
            <rFont val="Arial"/>
            <family val="2"/>
          </rPr>
          <t>Ce critère de qualité est équivalent à un niveau de risque de un cas de cancer supplémentaire pour une population de un million d'individus exposés.
Ce critère de qualité s'applique à la forme inorganique seulement.
Critère de qualité intérimaire.</t>
        </r>
      </text>
    </comment>
    <comment ref="E16" authorId="0" shapeId="0" xr:uid="{00000000-0006-0000-0100-000007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H16" authorId="0" shapeId="0" xr:uid="{00000000-0006-0000-0100-000008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I16" authorId="0" shapeId="0" xr:uid="{00000000-0006-0000-0100-000009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K16" authorId="0" shapeId="0" xr:uid="{00000000-0006-0000-0100-00000A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M16" authorId="0" shapeId="0" xr:uid="{00000000-0006-0000-0100-00000B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N16" authorId="0" shapeId="0" xr:uid="{00000000-0006-0000-0100-00000C000000}">
      <text>
        <r>
          <rPr>
            <sz val="12"/>
            <color indexed="9"/>
            <rFont val="Arial"/>
            <family val="2"/>
          </rPr>
          <t>Les critères de qualité de l'U.S.EPA, qu'ils s'appliquent aux eaux douces, saumâtres ou salées, ont été définis à partir de données sur l'arsenic III mais s'appliquent ici à  l'arsenic total, ce qui signifie que la toxicité de l'arsenic III et V est considérée comme étant égale et additive.</t>
        </r>
      </text>
    </comment>
    <comment ref="B17" authorId="0" shapeId="0" xr:uid="{00000000-0006-0000-0100-00000D000000}">
      <text>
        <r>
          <rPr>
            <sz val="12"/>
            <color indexed="9"/>
            <rFont val="Arial"/>
            <family val="2"/>
          </rPr>
          <t>Cette concentration est une concentration maximale acceptable (CMA) définie pour l'eau potable.</t>
        </r>
      </text>
    </comment>
    <comment ref="B18" authorId="0" shapeId="0" xr:uid="{00000000-0006-0000-0100-00000E000000}">
      <text>
        <r>
          <rPr>
            <sz val="12"/>
            <color indexed="9"/>
            <rFont val="Arial"/>
            <family val="2"/>
          </rPr>
          <t xml:space="preserve">Cette concentration est une concentration maximale acceptable (CMA) définie pour l'eau potable.
</t>
        </r>
      </text>
    </comment>
    <comment ref="D18" authorId="1" shapeId="0" xr:uid="{00000000-0006-0000-0100-00000F000000}">
      <text>
        <r>
          <rPr>
            <b/>
            <sz val="12"/>
            <color indexed="9"/>
            <rFont val="Arial"/>
            <family val="2"/>
          </rPr>
          <t>MDDEP:</t>
        </r>
        <r>
          <rPr>
            <sz val="12"/>
            <color indexed="9"/>
            <rFont val="Arial"/>
            <family val="2"/>
          </rPr>
          <t xml:space="preserve">
la dureté semble jouer un rôle important pour la toxicité du Be. Ce critère a été calculé avec une dureté de 20
</t>
        </r>
      </text>
    </comment>
    <comment ref="B20" authorId="0" shapeId="0" xr:uid="{00000000-0006-0000-0100-000010000000}">
      <text>
        <r>
          <rPr>
            <sz val="12"/>
            <color indexed="9"/>
            <rFont val="Arial"/>
            <family val="2"/>
          </rPr>
          <t>Cette concentration est une concentration maximale acceptable (CMA) définie pour l'eau potable.</t>
        </r>
      </text>
    </comment>
    <comment ref="K20" authorId="0" shapeId="0" xr:uid="{00000000-0006-0000-0100-000011000000}">
      <text>
        <r>
          <rPr>
            <sz val="12"/>
            <color indexed="9"/>
            <rFont val="Arial"/>
            <family val="2"/>
          </rPr>
          <t>Les quelques données disponibles concernant le homard américain indiquent que cette espèce importante ne serait pas protégée par ce critère de qualité.</t>
        </r>
      </text>
    </comment>
    <comment ref="M20" authorId="0" shapeId="0" xr:uid="{00000000-0006-0000-0100-000012000000}">
      <text>
        <r>
          <rPr>
            <sz val="12"/>
            <color indexed="9"/>
            <rFont val="Arial"/>
            <family val="2"/>
          </rPr>
          <t>Les données indiquent que la toxicité aiguë varie en fonction de la salinité; par conséquent, le critère de qualité ne serait pas suffisamment protecteur aux faibles salinités.</t>
        </r>
      </text>
    </comment>
    <comment ref="N20" authorId="0" shapeId="0" xr:uid="{00000000-0006-0000-0100-000013000000}">
      <text>
        <r>
          <rPr>
            <sz val="12"/>
            <color indexed="9"/>
            <rFont val="Arial"/>
            <family val="2"/>
          </rPr>
          <t>Les données indiquent que la toxicité aiguë varie en fonction de la salinité; par conséquent, le critère de qualité ne serait pas suffisamment protecteur aux faibles salinités.
Les quelques données disponibles concernant le homard américain indiquent que cette espèce importante ne serait pas protégée par ce critère de qualité.</t>
        </r>
      </text>
    </comment>
    <comment ref="B21" authorId="0" shapeId="0" xr:uid="{00000000-0006-0000-0100-000014000000}">
      <text>
        <r>
          <rPr>
            <sz val="12"/>
            <color indexed="9"/>
            <rFont val="Arial"/>
            <family val="2"/>
          </rPr>
          <t>Cette concentration est une concentration maximale acceptable (CMA) définie pour l'eau potable.</t>
        </r>
      </text>
    </comment>
    <comment ref="B22" authorId="0" shapeId="0" xr:uid="{00000000-0006-0000-0100-000015000000}">
      <text>
        <r>
          <rPr>
            <sz val="12"/>
            <color indexed="9"/>
            <rFont val="Arial"/>
            <family val="2"/>
          </rPr>
          <t>Cette concentration est une concentration maximale acceptable (CMA) définie pour l'eau potable.</t>
        </r>
      </text>
    </comment>
    <comment ref="M22" authorId="0" shapeId="0" xr:uid="{00000000-0006-0000-0100-000016000000}">
      <text>
        <r>
          <rPr>
            <sz val="12"/>
            <color indexed="9"/>
            <rFont val="Arial"/>
            <family val="2"/>
          </rPr>
          <t>Les données indiquent que la toxicité aiguë varie en fonction de la salinité; par conséquent, le critère de qualité ne serait pas suffisamment protecteur aux faibles salinités.</t>
        </r>
      </text>
    </comment>
    <comment ref="N22" authorId="0" shapeId="0" xr:uid="{00000000-0006-0000-0100-000017000000}">
      <text>
        <r>
          <rPr>
            <sz val="12"/>
            <color indexed="9"/>
            <rFont val="Arial"/>
            <family val="2"/>
          </rPr>
          <t>Les données indiquent que la toxicité aiguë varie en fonction de la salinité; par conséquent, le critère de qualité ne serait pas suffisamment protecteur aux faibles salinités.</t>
        </r>
      </text>
    </comment>
    <comment ref="B24" authorId="0" shapeId="0" xr:uid="{00000000-0006-0000-0100-000018000000}">
      <text>
        <r>
          <rPr>
            <sz val="12"/>
            <color indexed="9"/>
            <rFont val="Arial"/>
            <family val="2"/>
          </rPr>
          <t>Pour le critère de 1 mg/L, au-delà de cette concentration, les propriétés organoleptiques ou esthétiques de l'eau de consommation pourront être altérées.</t>
        </r>
      </text>
    </comment>
    <comment ref="E24" authorId="0" shapeId="0" xr:uid="{00000000-0006-0000-0100-000019000000}">
      <text>
        <r>
          <rPr>
            <sz val="12"/>
            <color indexed="9"/>
            <rFont val="Arial"/>
            <family val="2"/>
          </rPr>
          <t xml:space="preserve">La toxicité du cuivre diminue lorsque la concentration en carbone organique dissous est élevée (U.S.EPA, 1998).
</t>
        </r>
      </text>
    </comment>
    <comment ref="H24" authorId="0" shapeId="0" xr:uid="{00000000-0006-0000-0100-00001A000000}">
      <text>
        <r>
          <rPr>
            <sz val="12"/>
            <color indexed="9"/>
            <rFont val="Arial"/>
            <family val="2"/>
          </rPr>
          <t>La toxicité du cuivre diminue lorsque la concentration en carbone organique dissous est élevée (U.S.EPA, 1998).</t>
        </r>
      </text>
    </comment>
    <comment ref="I24" authorId="0" shapeId="0" xr:uid="{00000000-0006-0000-0100-00001B000000}">
      <text>
        <r>
          <rPr>
            <sz val="12"/>
            <color indexed="9"/>
            <rFont val="Arial"/>
            <family val="2"/>
          </rPr>
          <t xml:space="preserve">La toxicité du cuivre diminue lorsque la concentration en carbone organique dissous est élevée (U.S.EPA, 1998).
</t>
        </r>
      </text>
    </comment>
    <comment ref="K24" authorId="0" shapeId="0" xr:uid="{00000000-0006-0000-0100-00001C000000}">
      <text>
        <r>
          <rPr>
            <sz val="12"/>
            <color indexed="9"/>
            <rFont val="Arial"/>
            <family val="2"/>
          </rPr>
          <t xml:space="preserve">La toxicité du cuivre diminue lorsque la concentration en carbone organique dissous est élevée (U.S.EPA, 1998).
</t>
        </r>
      </text>
    </comment>
    <comment ref="M24" authorId="0" shapeId="0" xr:uid="{00000000-0006-0000-0100-00001D000000}">
      <text>
        <r>
          <rPr>
            <sz val="12"/>
            <color indexed="9"/>
            <rFont val="Arial"/>
            <family val="2"/>
          </rPr>
          <t>La toxicité du cuivre diminue lorsque la concentration en carbone organique dissous est élevée (U.S.EPA, 1998).</t>
        </r>
      </text>
    </comment>
    <comment ref="N24" authorId="0" shapeId="0" xr:uid="{00000000-0006-0000-0100-00001E000000}">
      <text>
        <r>
          <rPr>
            <sz val="12"/>
            <color indexed="9"/>
            <rFont val="Arial"/>
            <family val="2"/>
          </rPr>
          <t>La toxicité du cuivre diminue lorsque la concentration en carbone organique dissous est élevée (U.S.EPA, 1998).</t>
        </r>
      </text>
    </comment>
    <comment ref="B25" authorId="0" shapeId="0" xr:uid="{00000000-0006-0000-0100-00001F000000}">
      <text>
        <r>
          <rPr>
            <sz val="12"/>
            <color indexed="9"/>
            <rFont val="Arial"/>
            <family val="2"/>
          </rPr>
          <t>Au-delà de cette concentration, les propriétés organoleptiques ou esthétiques de l'eau de consommation pourront être altérées.
Certaines eaux de surface de bonne qualité peuvent avoir des concentrations naturelles plus élevées.</t>
        </r>
      </text>
    </comment>
    <comment ref="E25" authorId="2" shapeId="0" xr:uid="{00000000-0006-0000-0100-000020000000}">
      <text>
        <r>
          <rPr>
            <sz val="12"/>
            <color indexed="9"/>
            <rFont val="Arial"/>
            <family val="2"/>
          </rPr>
          <t>Ce critère de qualité est qualifié de provisoire.
Ce critère de qualité pourrait ne pas être protecteur pour l'éphémère (</t>
        </r>
        <r>
          <rPr>
            <i/>
            <sz val="12"/>
            <color indexed="9"/>
            <rFont val="Arial"/>
            <family val="2"/>
          </rPr>
          <t>Ephemerella subvaria</t>
        </r>
        <r>
          <rPr>
            <sz val="12"/>
            <color indexed="9"/>
            <rFont val="Arial"/>
            <family val="2"/>
          </rPr>
          <t>) si cette espèce est aussi sensible que certaines données l'indiquent.
Avant d'être comparées à ce critère de qualité, les données de qualité d'eau de surface doivent être corrigées pour réduire la fraction du métal non biodisponible associée aux particules. Un facteur de correction de 0,5 est utilisé sur les données d'eau de surface ayant une concentration en matières en suspension &lt; 10 mg/L. Un facteur de correction de 0,33 est utilisé sur les données d'eau de surface ayant une concentration en matières en suspension ≥ 10 mg/L.
Certaines eaux de surface de bonne qualité peuvent contenir des teneurs naturelles plus élevées que le critère de qualité. Dans ces situations, les teneurs naturelles doivent être considérées comme la valeur de référence plutôt que le critère de qualité. Un critère de qualité propre au site peut aussi être déterminé au cas par cas.</t>
        </r>
      </text>
    </comment>
    <comment ref="H25" authorId="0" shapeId="0" xr:uid="{00000000-0006-0000-0100-000021000000}">
      <text>
        <r>
          <rPr>
            <sz val="12"/>
            <color indexed="9"/>
            <rFont val="Arial"/>
            <family val="2"/>
          </rPr>
          <t>Ce critère de qualité est qualifié de provisoire.
Ce critère de qualité pourrait ne pas être protecteur pour l'éphémère (</t>
        </r>
        <r>
          <rPr>
            <i/>
            <sz val="12"/>
            <color indexed="9"/>
            <rFont val="Arial"/>
            <family val="2"/>
          </rPr>
          <t>Ephemerella subvaria</t>
        </r>
        <r>
          <rPr>
            <sz val="12"/>
            <color indexed="9"/>
            <rFont val="Arial"/>
            <family val="2"/>
          </rPr>
          <t xml:space="preserve">) si cette espèce est aussi sensible que certaines données l'indiquent.
</t>
        </r>
      </text>
    </comment>
    <comment ref="I25" authorId="0" shapeId="0" xr:uid="{00000000-0006-0000-0100-000022000000}">
      <text>
        <r>
          <rPr>
            <sz val="12"/>
            <color indexed="9"/>
            <rFont val="Arial"/>
            <family val="2"/>
          </rPr>
          <t>Ce critère de qualité est qualifié de provisoire.
Ce critère de qualité pourrait ne pas être protecteur pour l'éphémère (</t>
        </r>
        <r>
          <rPr>
            <i/>
            <sz val="12"/>
            <color indexed="9"/>
            <rFont val="Arial"/>
            <family val="2"/>
          </rPr>
          <t>Ephemerella subvaria</t>
        </r>
        <r>
          <rPr>
            <sz val="12"/>
            <color indexed="9"/>
            <rFont val="Arial"/>
            <family val="2"/>
          </rPr>
          <t xml:space="preserve">) si cette espèce est aussi sensible que certaines données l'indiquent.
</t>
        </r>
      </text>
    </comment>
    <comment ref="B27" authorId="0" shapeId="0" xr:uid="{00000000-0006-0000-0100-000023000000}">
      <text>
        <r>
          <rPr>
            <sz val="12"/>
            <color indexed="9"/>
            <rFont val="Arial"/>
            <family val="2"/>
          </rPr>
          <t>Au-delà de cette concentration, les propriétés organoleptiques ou esthétiques de l'eau de consommation pourront être altérées.
Certaines eaux de surface de bonne qualité peuvent avoir des concentrations naturelles plus élevées.</t>
        </r>
      </text>
    </comment>
    <comment ref="B28" authorId="0" shapeId="0" xr:uid="{00000000-0006-0000-0100-000024000000}">
      <text>
        <r>
          <rPr>
            <sz val="12"/>
            <color indexed="9"/>
            <rFont val="Arial"/>
            <family val="2"/>
          </rPr>
          <t>Ce critère de qualité est basé sur une consommation de 15 grammes de poisson, mollusque et crustacé par jour.
Ce critère de qualité inclut le méthylmercure.</t>
        </r>
      </text>
    </comment>
    <comment ref="C28" authorId="0" shapeId="0" xr:uid="{00000000-0006-0000-0100-000025000000}">
      <text>
        <r>
          <rPr>
            <sz val="12"/>
            <color indexed="9"/>
            <rFont val="Arial"/>
            <family val="2"/>
          </rPr>
          <t xml:space="preserve">Ce critère de qualité est basé sur une consommation de 15 grammes de poisson, mollusque et crustacé par jour.
Ce critère de qualité inclut le méthylmercure.
L'U.S.EPA (2006) recommande maintenant l'utilisation d'un critère de qualité de 0,3 mg/kg établi pour la chair de poisson.
Des critères de qualité ont aussi été établis pour prévenir la contamination de la chair de poisson comestible (voir annexe 16).
</t>
        </r>
      </text>
    </comment>
    <comment ref="E28" authorId="0" shapeId="0" xr:uid="{00000000-0006-0000-0100-000026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F28" authorId="0" shapeId="0" xr:uid="{00000000-0006-0000-0100-000027000000}">
      <text>
        <r>
          <rPr>
            <sz val="12"/>
            <color indexed="9"/>
            <rFont val="Arial"/>
            <family val="2"/>
          </rPr>
          <t xml:space="preserve">Ce critère de qualité inclut le méthylmercure.
Des critères de qualité ont aussi été établis pour prévenir la contamination des tissus des organismes aquatiques (voir annexe 15).
</t>
        </r>
      </text>
    </comment>
    <comment ref="H28" authorId="0" shapeId="0" xr:uid="{00000000-0006-0000-0100-000028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I28" authorId="0" shapeId="0" xr:uid="{00000000-0006-0000-0100-000029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K28" authorId="0" shapeId="0" xr:uid="{00000000-0006-0000-0100-00002A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M28" authorId="0" shapeId="0" xr:uid="{00000000-0006-0000-0100-00002B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N28" authorId="0" shapeId="0" xr:uid="{00000000-0006-0000-0100-00002C000000}">
      <text>
        <r>
          <rPr>
            <sz val="12"/>
            <color indexed="9"/>
            <rFont val="Arial"/>
            <family val="2"/>
          </rPr>
          <t>Ce critère de qualité a été défini à partir de données sur le mercure inorganique (HgII) mais il est appliqué au mercure total. Si une portion significative du mercure dans la colonne d'eau est sous forme de méthylmercure, ce critère de qualité ne serait pas suffisammment protecteur. De plus, celui-ci ne tient pas compte de la transformation du mercure inorganique en méthylmercure et de la bioaccumulation de ce dernier dans la chaîne alimentaire.</t>
        </r>
      </text>
    </comment>
    <comment ref="B29" authorId="0" shapeId="0" xr:uid="{00000000-0006-0000-0100-00002D000000}">
      <text>
        <r>
          <rPr>
            <sz val="12"/>
            <color indexed="9"/>
            <rFont val="Arial"/>
            <family val="2"/>
          </rPr>
          <t>Cette valeur est définie pour l'eau potable.</t>
        </r>
      </text>
    </comment>
    <comment ref="G29" authorId="1" shapeId="0" xr:uid="{00000000-0006-0000-0100-00002E000000}">
      <text>
        <r>
          <rPr>
            <b/>
            <sz val="12"/>
            <color indexed="9"/>
            <rFont val="Arial"/>
            <family val="2"/>
          </rPr>
          <t>MDDEP:</t>
        </r>
        <r>
          <rPr>
            <sz val="12"/>
            <color indexed="9"/>
            <rFont val="Arial"/>
            <family val="2"/>
          </rPr>
          <t xml:space="preserve">
CVAA</t>
        </r>
      </text>
    </comment>
    <comment ref="B30" authorId="0" shapeId="0" xr:uid="{00000000-0006-0000-0100-00002F000000}">
      <text>
        <r>
          <rPr>
            <sz val="12"/>
            <color indexed="9"/>
            <rFont val="Arial"/>
            <family val="2"/>
          </rPr>
          <t>Cette valeur est définie pour l'eau potable.</t>
        </r>
      </text>
    </comment>
    <comment ref="B31" authorId="0" shapeId="0" xr:uid="{00000000-0006-0000-0100-000030000000}">
      <text>
        <r>
          <rPr>
            <sz val="12"/>
            <color indexed="9"/>
            <rFont val="Arial"/>
            <family val="2"/>
          </rPr>
          <t>Cette concentration est une concentration maximale acceptable (CMA) définie pour l'eau potable.</t>
        </r>
      </text>
    </comment>
    <comment ref="E31" authorId="0" shapeId="0" xr:uid="{00000000-0006-0000-0100-000031000000}">
      <text>
        <r>
          <rPr>
            <sz val="12"/>
            <color indexed="9"/>
            <rFont val="Arial"/>
            <family val="2"/>
          </rPr>
          <t>Ce critère de qualité fait l'objet d'une réévaluation importante.</t>
        </r>
      </text>
    </comment>
    <comment ref="H31" authorId="0" shapeId="0" xr:uid="{00000000-0006-0000-0100-000032000000}">
      <text>
        <r>
          <rPr>
            <sz val="12"/>
            <color indexed="9"/>
            <rFont val="Arial"/>
            <family val="2"/>
          </rPr>
          <t>Ce critère de qualité a été défini sur la base de la meilleure information disponible.  Il est présentement en réévaluation à l'aide des procédures standard adoptées depuis.</t>
        </r>
      </text>
    </comment>
    <comment ref="I31" authorId="0" shapeId="0" xr:uid="{00000000-0006-0000-0100-000033000000}">
      <text>
        <r>
          <rPr>
            <sz val="12"/>
            <color indexed="9"/>
            <rFont val="Arial"/>
            <family val="2"/>
          </rPr>
          <t xml:space="preserve">Ce critère de qualité fait l'objet d'une réévaluation importante.
</t>
        </r>
      </text>
    </comment>
    <comment ref="B32" authorId="0" shapeId="0" xr:uid="{00000000-0006-0000-0100-000034000000}">
      <text>
        <r>
          <rPr>
            <sz val="12"/>
            <color indexed="9"/>
            <rFont val="Arial"/>
            <family val="2"/>
          </rPr>
          <t>Cette concentration est une concentration maximale acceptable (CMA) définie pour l'eau potable.</t>
        </r>
      </text>
    </comment>
    <comment ref="E32" authorId="2" shapeId="0" xr:uid="{00000000-0006-0000-0100-000035000000}">
      <text>
        <r>
          <rPr>
            <sz val="12"/>
            <color indexed="9"/>
            <rFont val="Arial"/>
            <family val="2"/>
          </rPr>
          <t>Ce critère de qualité s'applique au sélénium et à ses sels inorganiques.</t>
        </r>
      </text>
    </comment>
    <comment ref="H32" authorId="1" shapeId="0" xr:uid="{00000000-0006-0000-0100-000036000000}">
      <text>
        <r>
          <rPr>
            <sz val="12"/>
            <color indexed="9"/>
            <rFont val="Arial"/>
            <family val="2"/>
          </rPr>
          <t xml:space="preserve">Ce critère de qualité s'applique au sélénium et à ses sels inorganiques.
</t>
        </r>
      </text>
    </comment>
    <comment ref="I32" authorId="1" shapeId="0" xr:uid="{00000000-0006-0000-0100-000037000000}">
      <text>
        <r>
          <rPr>
            <sz val="12"/>
            <color indexed="9"/>
            <rFont val="Arial"/>
            <family val="2"/>
          </rPr>
          <t xml:space="preserve">Ce critère de qualité s'applique au sélénium et à ses sels inorganiques.
</t>
        </r>
      </text>
    </comment>
    <comment ref="K32" authorId="0" shapeId="0" xr:uid="{00000000-0006-0000-0100-000038000000}">
      <text>
        <r>
          <rPr>
            <sz val="12"/>
            <color indexed="9"/>
            <rFont val="Arial"/>
            <family val="2"/>
          </rPr>
          <t xml:space="preserve">Si, en milieu naturel, le sélénium est aussi toxique pour les poissons d'eau salée qu'il l'est pour les poissons d'eau douce, alors l'état de la communauté piscivore devrait être surveillé lorsque la concentration en sélénium dépasse 5 µg/L dans l'eau salée.
</t>
        </r>
      </text>
    </comment>
    <comment ref="B33" authorId="0" shapeId="0" xr:uid="{00000000-0006-0000-0100-000039000000}">
      <text>
        <r>
          <rPr>
            <sz val="12"/>
            <color indexed="9"/>
            <rFont val="Arial"/>
            <family val="2"/>
          </rPr>
          <t>Cette valeur est définie pour l'eau potable.</t>
        </r>
      </text>
    </comment>
    <comment ref="G34" authorId="1" shapeId="0" xr:uid="{00000000-0006-0000-0100-00003A000000}">
      <text>
        <r>
          <rPr>
            <b/>
            <sz val="12"/>
            <color indexed="9"/>
            <rFont val="Arial"/>
            <family val="2"/>
          </rPr>
          <t>MDDEP:</t>
        </r>
        <r>
          <rPr>
            <sz val="12"/>
            <color indexed="9"/>
            <rFont val="Arial"/>
            <family val="2"/>
          </rPr>
          <t xml:space="preserve">
CVAA</t>
        </r>
      </text>
    </comment>
    <comment ref="B35" authorId="0" shapeId="0" xr:uid="{00000000-0006-0000-0100-00003B000000}">
      <text>
        <r>
          <rPr>
            <sz val="12"/>
            <color indexed="9"/>
            <rFont val="Arial"/>
            <family val="2"/>
          </rPr>
          <t>Cette concentration est une concentration maximale acceptable (CMA) définie pour l'eau potable.</t>
        </r>
      </text>
    </comment>
    <comment ref="E35" authorId="2" shapeId="0" xr:uid="{00000000-0006-0000-0100-00003C000000}">
      <text>
        <r>
          <rPr>
            <sz val="12"/>
            <color indexed="9"/>
            <rFont val="Arial"/>
            <family val="2"/>
          </rPr>
          <t>Ce critère de qualité est qualifié de provisoire.</t>
        </r>
      </text>
    </comment>
    <comment ref="H35" authorId="2" shapeId="0" xr:uid="{00000000-0006-0000-0100-00003D000000}">
      <text>
        <r>
          <rPr>
            <sz val="12"/>
            <color indexed="9"/>
            <rFont val="Arial"/>
            <family val="2"/>
          </rPr>
          <t>Ce critère de qualité est qualifié de provisoire.</t>
        </r>
      </text>
    </comment>
    <comment ref="I35" authorId="1" shapeId="0" xr:uid="{00000000-0006-0000-0100-00003E000000}">
      <text>
        <r>
          <rPr>
            <sz val="12"/>
            <color indexed="9"/>
            <rFont val="Arial"/>
            <family val="2"/>
          </rPr>
          <t xml:space="preserve">Ce critère de qualité est qualifié de provisoire.
</t>
        </r>
      </text>
    </comment>
    <comment ref="G36" authorId="1" shapeId="0" xr:uid="{00000000-0006-0000-0100-00003F000000}">
      <text>
        <r>
          <rPr>
            <b/>
            <sz val="12"/>
            <color indexed="9"/>
            <rFont val="Arial"/>
            <family val="2"/>
          </rPr>
          <t>MDDEP:</t>
        </r>
        <r>
          <rPr>
            <sz val="12"/>
            <color indexed="9"/>
            <rFont val="Arial"/>
            <family val="2"/>
          </rPr>
          <t xml:space="preserve">
CVAA</t>
        </r>
      </text>
    </comment>
    <comment ref="B37" authorId="0" shapeId="0" xr:uid="{00000000-0006-0000-0100-000040000000}">
      <text>
        <r>
          <rPr>
            <sz val="12"/>
            <color indexed="9"/>
            <rFont val="Arial"/>
            <family val="2"/>
          </rPr>
          <t xml:space="preserve">Pour le critère de 5 mg/L, au-delà de cette concentration, les propriétés organoleptiques ou esthétiques de l'eau de consommation pourront être altérées.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pelfr02</author>
  </authors>
  <commentList>
    <comment ref="C15" authorId="0" shapeId="0" xr:uid="{00000000-0006-0000-0200-000001000000}">
      <text>
        <r>
          <rPr>
            <sz val="12"/>
            <color indexed="81"/>
            <rFont val="Tahoma"/>
            <family val="2"/>
          </rPr>
          <t>Pour une dureté &lt; 10, entrer 10
Pour une dureté &gt; 400, entrer 400</t>
        </r>
      </text>
    </comment>
  </commentList>
</comments>
</file>

<file path=xl/sharedStrings.xml><?xml version="1.0" encoding="utf-8"?>
<sst xmlns="http://schemas.openxmlformats.org/spreadsheetml/2006/main" count="264" uniqueCount="98">
  <si>
    <r>
      <t xml:space="preserve">Certaines eaux de surface de bonne qualité peuvent présenter des teneurs naturelles plus élevées que le critère de qualité. Dans ces situations, la teneur naturelle doit être considérée comme la valeur de référence plutôt que le critère de qualité. Un critère de qualité propre au site peut aussi être déterminé au cas par cas. De l'information précise à ce sujet est présentée dans le document </t>
    </r>
    <r>
      <rPr>
        <i/>
        <sz val="12"/>
        <rFont val="Arial"/>
        <family val="2"/>
      </rPr>
      <t>Calcul et interprétation des objectifs environnementaux de rejet (OER) pour les contaminants du milieu aquatique.</t>
    </r>
    <r>
      <rPr>
        <sz val="12"/>
        <rFont val="Arial"/>
        <family val="2"/>
      </rPr>
      <t xml:space="preserve"> </t>
    </r>
  </si>
  <si>
    <t>EAU DOUCE</t>
  </si>
  <si>
    <t>EAU SALÉE</t>
  </si>
  <si>
    <t>RÉFÉRENCES</t>
  </si>
  <si>
    <t>Antimoine III</t>
  </si>
  <si>
    <t>Argent</t>
  </si>
  <si>
    <t>Arsenic</t>
  </si>
  <si>
    <t>Baryum</t>
  </si>
  <si>
    <t>Cadmium</t>
  </si>
  <si>
    <t>Chrome III</t>
  </si>
  <si>
    <t>Chrome VI</t>
  </si>
  <si>
    <t>Cuivre</t>
  </si>
  <si>
    <t>Manganèse</t>
  </si>
  <si>
    <t>Mercure</t>
  </si>
  <si>
    <t>Nickel</t>
  </si>
  <si>
    <t>Plomb</t>
  </si>
  <si>
    <t>Sélénium</t>
  </si>
  <si>
    <t>Zinc</t>
  </si>
  <si>
    <t>Antimoine</t>
  </si>
  <si>
    <t>Cobalt</t>
  </si>
  <si>
    <t>Molybdène</t>
  </si>
  <si>
    <t>**</t>
  </si>
  <si>
    <t>mg/L</t>
  </si>
  <si>
    <t>Béryllium</t>
  </si>
  <si>
    <t>Bore</t>
  </si>
  <si>
    <t>Fer</t>
  </si>
  <si>
    <t>Lithium</t>
  </si>
  <si>
    <t>Thallium</t>
  </si>
  <si>
    <t>Uranium</t>
  </si>
  <si>
    <t>Vanadium</t>
  </si>
  <si>
    <t>Strontium</t>
  </si>
  <si>
    <t>**CVAC**
avant 2009</t>
  </si>
  <si>
    <t>**VAFe**
avant 2009</t>
  </si>
  <si>
    <t>CQES</t>
  </si>
  <si>
    <t>Critères de qualité de l'eau de surface</t>
  </si>
  <si>
    <t>NOTES À L'UTILISATEUR</t>
  </si>
  <si>
    <t>HISTORIQUE DES MISES À JOUR</t>
  </si>
  <si>
    <t>NOUS JOINDRE</t>
  </si>
  <si>
    <t>Critères de qualité propres à un site</t>
  </si>
  <si>
    <t>Calcium (mg/L)</t>
  </si>
  <si>
    <t>Magnésium (mg/L)</t>
  </si>
  <si>
    <r>
      <t>Dureté                         (mg CaCO</t>
    </r>
    <r>
      <rPr>
        <vertAlign val="subscript"/>
        <sz val="12"/>
        <rFont val="Arial"/>
        <family val="2"/>
      </rPr>
      <t>3</t>
    </r>
    <r>
      <rPr>
        <sz val="12"/>
        <rFont val="Arial"/>
        <family val="2"/>
      </rPr>
      <t>/L)</t>
    </r>
  </si>
  <si>
    <t>Il est important de prendre connaissance des notes qui accompagnent certains critères de qualité (triangle rouge au coin supérieur droit) qui ne s'impriment pas.</t>
  </si>
  <si>
    <t>MISE EN GARDE</t>
  </si>
  <si>
    <t>CRITÈRES DE QUALITÉ DE L'EAU DE SURFACE POUR LES MÉTAUX</t>
  </si>
  <si>
    <t>Fondements des critères de qualité pour chaque usage de l'eau</t>
  </si>
  <si>
    <t>Règles générales d'utilisation des critères de qualité de l'eau</t>
  </si>
  <si>
    <t>Calcul et interprétation des objectifs environnementaux de rejet (OER) pour les contaminants du milieu aquatique</t>
  </si>
  <si>
    <t>(mg/L)</t>
  </si>
  <si>
    <t>La connaissance de différentes caractéristiques physico-chimiques du milieu aquatique aide à l'évaluation de la qualité d'une eau de surface relativement à certains métaux (carbone organique dissous, matières en suspension, dureté, pH, etc.). Il est donc souhaitable d'effectuer ces analyses simultanément à celles des métaux.</t>
  </si>
  <si>
    <r>
      <t xml:space="preserve">De façon générale, une méthode d'analyse des métaux à l'état de traces est requise pour les milieux aquatiques. Cette méthode réduit les risques de contamination des échantillons lors du prélèvement, de la préparation et de l'analyse en laboratoire (Centre d'expertise en analyse environnementale du Québec, </t>
    </r>
    <r>
      <rPr>
        <i/>
        <sz val="12"/>
        <rFont val="Arial"/>
        <family val="2"/>
      </rPr>
      <t>Méthodes d'analyse en usage au CEAEQ</t>
    </r>
    <r>
      <rPr>
        <sz val="12"/>
        <rFont val="Arial"/>
        <family val="2"/>
      </rPr>
      <t>).</t>
    </r>
  </si>
  <si>
    <t>CPC(EO)</t>
  </si>
  <si>
    <t>CPC(O)</t>
  </si>
  <si>
    <t>CVAC</t>
  </si>
  <si>
    <t>CFTP</t>
  </si>
  <si>
    <t>VAFe</t>
  </si>
  <si>
    <t>CVAA</t>
  </si>
  <si>
    <t>Prévention de la contamination (organismes aquatiques seulement)</t>
  </si>
  <si>
    <t>Protection de la vie aquatique (effet chronique)</t>
  </si>
  <si>
    <t>Protection de la faune terrestre piscivore</t>
  </si>
  <si>
    <t>Valeur aiguë finale à l'effluent</t>
  </si>
  <si>
    <t>Protection de la vie aquatique (effet aigu)</t>
  </si>
  <si>
    <t>Critères de qualité de l'eau de surface pour les métaux</t>
  </si>
  <si>
    <t>2009 : Mise à jour de certains critères de qualité de l'eau de surface</t>
  </si>
  <si>
    <t>2007 : Mise à jour des critères de qualité de l'eau de surface pour les métaux</t>
  </si>
  <si>
    <t>Prévention de la contamination (eau* et organismes aquatiques)</t>
  </si>
  <si>
    <t>2017 : Corrections mineures et nouveau format Excel (.xlsx)</t>
  </si>
  <si>
    <r>
      <t>L'équation utilisée pour calculer la dureté est la suivante : dureté (mg/L CaCO</t>
    </r>
    <r>
      <rPr>
        <vertAlign val="subscript"/>
        <sz val="12"/>
        <rFont val="Arial"/>
        <family val="2"/>
      </rPr>
      <t>3</t>
    </r>
    <r>
      <rPr>
        <sz val="12"/>
        <rFont val="Arial"/>
        <family val="2"/>
      </rPr>
      <t>) = 2,497 [Ca] + 4,118 [Mg], où [Ca] est la concentration en calcium exprimée en mg/L et [Mg] est la concentration en magnésium exprimée en mg/L :</t>
    </r>
  </si>
  <si>
    <r>
      <t>(mg/L CaCO</t>
    </r>
    <r>
      <rPr>
        <vertAlign val="subscript"/>
        <sz val="12"/>
        <rFont val="Arial"/>
        <family val="2"/>
      </rPr>
      <t>3</t>
    </r>
    <r>
      <rPr>
        <sz val="12"/>
        <rFont val="Arial"/>
        <family val="2"/>
      </rPr>
      <t>)</t>
    </r>
  </si>
  <si>
    <r>
      <t xml:space="preserve">Les critères de qualité de l'eau de surface ont une portée et des limites d'utilisation qu'il faut connaître pour les interpréter adéquatement. Pour cette raison, il est recommandé de lire les </t>
    </r>
    <r>
      <rPr>
        <i/>
        <sz val="12"/>
        <rFont val="Arial"/>
        <family val="2"/>
      </rPr>
      <t>Fondements des critères de qualité pour chaque usage de l'eau</t>
    </r>
    <r>
      <rPr>
        <sz val="12"/>
        <rFont val="Arial"/>
        <family val="2"/>
      </rPr>
      <t xml:space="preserve"> ainsi que les </t>
    </r>
    <r>
      <rPr>
        <i/>
        <sz val="12"/>
        <rFont val="Arial"/>
        <family val="2"/>
      </rPr>
      <t>Règles générales d'utilisation et d'interprétation</t>
    </r>
    <r>
      <rPr>
        <sz val="12"/>
        <rFont val="Arial"/>
        <family val="2"/>
      </rPr>
      <t xml:space="preserve"> de ceux-ci. Les critères de qualité de l'eau de surface servent d'outils de référence pour évaluer l'intégrité physico-chimique des écosystèmes. Le Ministère les utilise aussi pour définir des objectifs environnementaux de rejet pour les contaminants dans le cas de projets impliquant le déversement d'eaux usées dans le milieu aquatique (</t>
    </r>
    <r>
      <rPr>
        <i/>
        <sz val="12"/>
        <rFont val="Arial"/>
        <family val="2"/>
      </rPr>
      <t>Calcul et interprétation des objectifs environnementaux de rejet [OER] pour les contaminants du milieu aquatique</t>
    </r>
    <r>
      <rPr>
        <sz val="12"/>
        <rFont val="Arial"/>
        <family val="2"/>
      </rPr>
      <t>)</t>
    </r>
    <r>
      <rPr>
        <i/>
        <sz val="12"/>
        <rFont val="Arial"/>
        <family val="2"/>
      </rPr>
      <t>.</t>
    </r>
  </si>
  <si>
    <r>
      <t>La toxicité de plusieurs métaux (argent, baryum, béryllium, cadmium, chrome III, cuivre, manganèse, nickel, plomb, uranium et zinc) varie de façon inverse à la dureté de l'eau douce. C'est pourquoi les critères de qualité pour la protection de la vie aquatique (CVAC, CVAA et VAFe) de ces métaux sont exprimés sous forme d'équations qui tiennent compte de la dureté. L'utilisation de ces équations est valable pour des duretés supérieures à 10 mg/L CaCO</t>
    </r>
    <r>
      <rPr>
        <vertAlign val="subscript"/>
        <sz val="12"/>
        <rFont val="Arial"/>
        <family val="2"/>
      </rPr>
      <t>3</t>
    </r>
    <r>
      <rPr>
        <sz val="12"/>
        <rFont val="Arial"/>
        <family val="2"/>
      </rPr>
      <t xml:space="preserve"> et inférieures à 400 mg/L CaCO</t>
    </r>
    <r>
      <rPr>
        <vertAlign val="subscript"/>
        <sz val="12"/>
        <rFont val="Arial"/>
        <family val="2"/>
      </rPr>
      <t>3</t>
    </r>
    <r>
      <rPr>
        <sz val="12"/>
        <rFont val="Arial"/>
        <family val="2"/>
      </rPr>
      <t>. Pour le calcul des objectifs environnementaux de rejet (OER), une valeur limite de 200 mg/L CaCO</t>
    </r>
    <r>
      <rPr>
        <vertAlign val="subscript"/>
        <sz val="12"/>
        <rFont val="Arial"/>
        <family val="2"/>
      </rPr>
      <t>3</t>
    </r>
    <r>
      <rPr>
        <sz val="12"/>
        <rFont val="Arial"/>
        <family val="2"/>
      </rPr>
      <t xml:space="preserve"> est utilisée. Lorsque la dureté est à l'extérieur de cette plage de valeurs, on doit utiliser la valeur limite la plus près.</t>
    </r>
  </si>
  <si>
    <r>
      <t xml:space="preserve">L'analyse des métaux se fait pour la forme dissoute ou pour la forme de métal extractible total selon les situations et l'objectif visé. La forme extractible totale est recommandée pour établir des bilans de masse, pour quantifier les métaux dans les effluents, pour vérifier le respect des normes, ainsi que pour établir les concentrations d'un milieu en amont d'un rejet de manière à déterminer des objectifs environnementaux de rejet (OER). Des indications supplémentaires sont fournies dans le document </t>
    </r>
    <r>
      <rPr>
        <i/>
        <sz val="12"/>
        <rFont val="Arial"/>
        <family val="2"/>
      </rPr>
      <t>Calcul et interprétation des objectifs environnementaux de rejet (OER) pour les contaminants du milieu aquatique</t>
    </r>
    <r>
      <rPr>
        <sz val="12"/>
        <rFont val="Arial"/>
        <family val="2"/>
      </rPr>
      <t>. L'analyse des métaux dissous est recommandée pour évaluer la qualité de l'eau des milieux aquatiques et les risques écotoxicologiques liés à la présence de métaux d'origine anthropique.</t>
    </r>
  </si>
  <si>
    <r>
      <t xml:space="preserve">Les critères de qualité de l'eau de surface pour les métaux sont exprimés sous forme de métal extractible total, tel que défini dans le document </t>
    </r>
    <r>
      <rPr>
        <i/>
        <sz val="12"/>
        <rFont val="Arial"/>
        <family val="2"/>
      </rPr>
      <t>Terminologie commune recommandée pour l'analyse des métaux</t>
    </r>
    <r>
      <rPr>
        <sz val="12"/>
        <rFont val="Arial"/>
        <family val="2"/>
      </rPr>
      <t xml:space="preserve"> du Centre d'expertise en analyse environnementale du Québec (CEAEQ, 2012). Ce document permet de distinguer les différentes formes métalliques et les appellations et méthodes d'analyse en usage. L'analyse des métaux dissous dans le milieu naturel fournit une évaluation valable de la fraction biodisponible des métaux. Des facteurs de conversion permettent de calculer les critères de qualité de protection de la vie aquatique (effets chronique [CVAC] et aigu [CVAA]) qui sont exprimés en métal extractible total sous la forme de métal dissous. Ils sont présentés dans le document </t>
    </r>
    <r>
      <rPr>
        <i/>
        <sz val="12"/>
        <rFont val="Arial"/>
        <family val="2"/>
      </rPr>
      <t>Critères de qualité de l'eau de surface</t>
    </r>
    <r>
      <rPr>
        <sz val="12"/>
        <rFont val="Arial"/>
        <family val="2"/>
      </rPr>
      <t xml:space="preserve"> et reproduits dans la feuille « Facteurs de conversion dissous ». </t>
    </r>
  </si>
  <si>
    <t>FACTEURS DE CONVERSION POUR PASSER DU MÉTAL EXTRACTIBLE TOTAL À LA FORME DISSOUTE</t>
  </si>
  <si>
    <t>Métaux dont le facteur de conversion varie avec la dureté</t>
  </si>
  <si>
    <t>Toute demande d'information peut être adressée à :</t>
  </si>
  <si>
    <t>Métaux dont le CVAA, le CVAC ou la VAFe varie avec la dureté</t>
  </si>
  <si>
    <t xml:space="preserve">
EAU SALÉE</t>
  </si>
  <si>
    <t xml:space="preserve">Toute demande d'information peut être adressée à :  </t>
  </si>
  <si>
    <r>
      <t xml:space="preserve">Critère pour la vie aquatique 
(effet chronique)
</t>
    </r>
    <r>
      <rPr>
        <b/>
        <sz val="12"/>
        <rFont val="Arial"/>
        <family val="2"/>
      </rPr>
      <t>CVAC</t>
    </r>
  </si>
  <si>
    <r>
      <t xml:space="preserve">Critère pour la vie aquatique 
(effet aigu)
</t>
    </r>
    <r>
      <rPr>
        <b/>
        <sz val="12"/>
        <rFont val="Arial"/>
        <family val="2"/>
      </rPr>
      <t>CVAA</t>
    </r>
  </si>
  <si>
    <r>
      <t xml:space="preserve">Critère pour la vie aquatique (effet chronique)
</t>
    </r>
    <r>
      <rPr>
        <b/>
        <sz val="12"/>
        <rFont val="Arial"/>
        <family val="2"/>
      </rPr>
      <t>CVAC</t>
    </r>
  </si>
  <si>
    <r>
      <t xml:space="preserve">Critère pour la vie aquatique (effet aigu)
</t>
    </r>
    <r>
      <rPr>
        <b/>
        <sz val="12"/>
        <rFont val="Arial"/>
        <family val="2"/>
      </rPr>
      <t>CVAA</t>
    </r>
  </si>
  <si>
    <t xml:space="preserve">Ces critères sont exprimés sous la forme de métal extractible total, tel que décrit dans le document : </t>
  </si>
  <si>
    <r>
      <t>&lt;- inscrire la dureté (en mg/L de CaCO</t>
    </r>
    <r>
      <rPr>
        <b/>
        <vertAlign val="subscript"/>
        <sz val="12"/>
        <rFont val="Arial"/>
        <family val="2"/>
      </rPr>
      <t>3</t>
    </r>
    <r>
      <rPr>
        <b/>
        <sz val="12"/>
        <rFont val="Arial"/>
        <family val="2"/>
      </rPr>
      <t>)</t>
    </r>
  </si>
  <si>
    <r>
      <t xml:space="preserve">Dureté minimale de 10 mg/L </t>
    </r>
    <r>
      <rPr>
        <b/>
        <sz val="12"/>
        <rFont val="Arial"/>
        <family val="2"/>
      </rPr>
      <t>et maximale de 400 mg/L de CaCO</t>
    </r>
    <r>
      <rPr>
        <b/>
        <vertAlign val="subscript"/>
        <sz val="12"/>
        <rFont val="Arial"/>
        <family val="2"/>
      </rPr>
      <t>3</t>
    </r>
  </si>
  <si>
    <r>
      <t>Dureté minimale de 10 mg/L et maximale de 400 mg/L de CaCO</t>
    </r>
    <r>
      <rPr>
        <vertAlign val="subscript"/>
        <sz val="12"/>
        <rFont val="Arial"/>
        <family val="2"/>
      </rPr>
      <t>3</t>
    </r>
  </si>
  <si>
    <t>Le critère de qualité en métal dissous est obtenu en multipliant le critère de qualité en métal extractible total par le facteur de conversion</t>
  </si>
  <si>
    <r>
      <t>&lt;- inscrire la dureté (en mg/l de CaCO</t>
    </r>
    <r>
      <rPr>
        <b/>
        <vertAlign val="subscript"/>
        <sz val="12"/>
        <rFont val="Arial"/>
        <family val="2"/>
      </rPr>
      <t>3</t>
    </r>
    <r>
      <rPr>
        <b/>
        <sz val="12"/>
        <rFont val="Arial"/>
        <family val="2"/>
      </rPr>
      <t>)</t>
    </r>
  </si>
  <si>
    <t xml:space="preserve"> *  eau brute destinée à la production d'eau potable</t>
  </si>
  <si>
    <t xml:space="preserve">Centre d'expertise en analyse environnementale du Québec (CEAEQ), Terminologie recommandée pour l'analyse des métaux </t>
  </si>
  <si>
    <t>Centre d'expertise en analyse environnementale du Québec (CEAEQ), Méthodes d'analyse</t>
  </si>
  <si>
    <t>criteres.eau@environnement.gouv.qc.ca</t>
  </si>
  <si>
    <t xml:space="preserve"> Terminologie recommandée pour l'analyse des métaux (CEAEQ, MELCC, 2012)</t>
  </si>
  <si>
    <t xml:space="preserve">Pour toute information, vous pouvez communiquer avec la Direction de la qualité des milieux aquatiques (DQMA) par courriel à : </t>
  </si>
  <si>
    <t>Les données de ce fichier sont protégées afin d'éviter des modifications accidentelles, mais cette protection peut être désactivée au besoin via l'onglet  « RÉVISION » du ruban. Comme le fichier est modifiable, le MELCCFP ne peut en garantir l'exactitude après diffusion et, pour cette raison, il décline toute responsabilité quant à son utilisation. De plus, le MELCCFP se réserve le droit de revoir ce fichier et de le mettre à jour à tout moment.</t>
  </si>
  <si>
    <r>
      <t xml:space="preserve">Ce fichier contient l'ensemble des critères de qualité de l'eau de surface du Ministère de l'Environnement, de la Lutte contre les changements climatiques, de la Faune et des Parcs (MELCCFP) pour les métaux. Ils sont présentés dans le « Tableau CQES » de la feuille suivante. Ces critères s'appliquent aux eaux douces ou aux eaux salées du Québec et sont publiés dans le document de référence </t>
    </r>
    <r>
      <rPr>
        <i/>
        <sz val="12"/>
        <rFont val="Arial"/>
        <family val="2"/>
      </rPr>
      <t>Critères de qualité de l'eau de surface</t>
    </r>
    <r>
      <rPr>
        <sz val="12"/>
        <rFont val="Arial"/>
        <family val="2"/>
      </rPr>
      <t xml:space="preserve">. Plusieurs notes d'information accompagnent ces critères et ont été reproduites, sous forme de commentaires, dans le « Tableau CQES ». Toutefois, comme ces notes n'apparaissent pas lors de l'impression du tableau, il est important d'en prendre connaissance dans cette version électronique ou en consultant le document de référence. En cas de disparité entre le « Tableau CQES » et le document de référence, c'est ce dernier qui prévaut. </t>
    </r>
  </si>
  <si>
    <t>2023 : Retrait des CPC(O) pour certains métaux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</si>
</sst>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General_)"/>
    <numFmt numFmtId="165" formatCode="#,##0.0000\ _$_-"/>
    <numFmt numFmtId="166" formatCode="#,##0.00000\ _$_-"/>
    <numFmt numFmtId="167" formatCode="#,##0.000\ _$_-"/>
    <numFmt numFmtId="168" formatCode="#,##0.00\ _$_-"/>
    <numFmt numFmtId="169" formatCode="#,##0.000000\ _$_-"/>
    <numFmt numFmtId="170" formatCode="0.0"/>
    <numFmt numFmtId="171" formatCode="0.000"/>
    <numFmt numFmtId="172" formatCode="0.000000"/>
  </numFmts>
  <fonts count="41" x14ac:knownFonts="1">
    <font>
      <sz val="10"/>
      <name val="Arial"/>
    </font>
    <font>
      <sz val="10"/>
      <name val="Times New Roman"/>
      <family val="1"/>
    </font>
    <font>
      <sz val="10"/>
      <name val="Courier"/>
    </font>
    <font>
      <u/>
      <sz val="10"/>
      <color indexed="12"/>
      <name val="Arial"/>
      <family val="2"/>
    </font>
    <font>
      <sz val="12"/>
      <name val="Arial"/>
      <family val="2"/>
    </font>
    <font>
      <sz val="12"/>
      <name val="Arial"/>
      <family val="2"/>
    </font>
    <font>
      <b/>
      <sz val="12"/>
      <name val="Arial"/>
      <family val="2"/>
    </font>
    <font>
      <sz val="12"/>
      <color indexed="8"/>
      <name val="Arial"/>
      <family val="2"/>
    </font>
    <font>
      <sz val="10"/>
      <name val="Arial"/>
      <family val="2"/>
    </font>
    <font>
      <b/>
      <sz val="10"/>
      <color indexed="14"/>
      <name val="Arial"/>
      <family val="2"/>
    </font>
    <font>
      <sz val="18"/>
      <color indexed="14"/>
      <name val="Arial"/>
      <family val="2"/>
    </font>
    <font>
      <b/>
      <u/>
      <sz val="10"/>
      <name val="Arial"/>
      <family val="2"/>
    </font>
    <font>
      <sz val="8"/>
      <name val="Arial"/>
      <family val="2"/>
    </font>
    <font>
      <sz val="12"/>
      <color indexed="9"/>
      <name val="Arial"/>
      <family val="2"/>
    </font>
    <font>
      <b/>
      <sz val="14"/>
      <name val="Arial"/>
      <family val="2"/>
    </font>
    <font>
      <sz val="10"/>
      <color indexed="12"/>
      <name val="Arial"/>
      <family val="2"/>
    </font>
    <font>
      <b/>
      <i/>
      <sz val="11"/>
      <name val="Arial"/>
      <family val="2"/>
    </font>
    <font>
      <b/>
      <sz val="10"/>
      <name val="Arial"/>
      <family val="2"/>
    </font>
    <font>
      <b/>
      <u/>
      <sz val="18"/>
      <name val="Arial"/>
      <family val="2"/>
    </font>
    <font>
      <b/>
      <vertAlign val="subscript"/>
      <sz val="12"/>
      <name val="Arial"/>
      <family val="2"/>
    </font>
    <font>
      <sz val="10"/>
      <color indexed="62"/>
      <name val="Arial"/>
      <family val="2"/>
    </font>
    <font>
      <b/>
      <sz val="20"/>
      <name val="Arial"/>
      <family val="2"/>
    </font>
    <font>
      <sz val="12"/>
      <color indexed="81"/>
      <name val="Tahoma"/>
      <family val="2"/>
    </font>
    <font>
      <i/>
      <sz val="12"/>
      <name val="Arial"/>
      <family val="2"/>
    </font>
    <font>
      <vertAlign val="subscript"/>
      <sz val="12"/>
      <name val="Arial"/>
      <family val="2"/>
    </font>
    <font>
      <b/>
      <sz val="12"/>
      <color indexed="57"/>
      <name val="Arial"/>
      <family val="2"/>
    </font>
    <font>
      <sz val="12"/>
      <color indexed="62"/>
      <name val="Arial"/>
      <family val="2"/>
    </font>
    <font>
      <b/>
      <u/>
      <sz val="16"/>
      <name val="Arial"/>
      <family val="2"/>
    </font>
    <font>
      <sz val="16"/>
      <name val="Arial"/>
      <family val="2"/>
    </font>
    <font>
      <i/>
      <sz val="12"/>
      <color indexed="12"/>
      <name val="Arial"/>
      <family val="2"/>
    </font>
    <font>
      <sz val="12"/>
      <color indexed="62"/>
      <name val="Arial"/>
      <family val="2"/>
    </font>
    <font>
      <sz val="10"/>
      <color indexed="62"/>
      <name val="Arial"/>
      <family val="2"/>
    </font>
    <font>
      <u/>
      <sz val="10"/>
      <color indexed="62"/>
      <name val="Arial"/>
      <family val="2"/>
    </font>
    <font>
      <i/>
      <sz val="12"/>
      <color indexed="62"/>
      <name val="Arial"/>
      <family val="2"/>
    </font>
    <font>
      <u/>
      <sz val="12"/>
      <color indexed="12"/>
      <name val="Arial"/>
      <family val="2"/>
    </font>
    <font>
      <b/>
      <sz val="12"/>
      <color indexed="9"/>
      <name val="Arial"/>
      <family val="2"/>
    </font>
    <font>
      <i/>
      <sz val="12"/>
      <color indexed="9"/>
      <name val="Arial"/>
      <family val="2"/>
    </font>
    <font>
      <b/>
      <sz val="16"/>
      <name val="Arial"/>
      <family val="2"/>
    </font>
    <font>
      <sz val="14"/>
      <name val="Arial"/>
      <family val="2"/>
    </font>
    <font>
      <sz val="13"/>
      <name val="Arial"/>
      <family val="2"/>
    </font>
    <font>
      <b/>
      <i/>
      <sz val="36"/>
      <color theme="4" tint="-0.249977111117893"/>
      <name val="Arial"/>
      <family val="2"/>
    </font>
  </fonts>
  <fills count="5">
    <fill>
      <patternFill patternType="none"/>
    </fill>
    <fill>
      <patternFill patternType="gray125"/>
    </fill>
    <fill>
      <patternFill patternType="solid">
        <fgColor rgb="FFCCECFF"/>
        <bgColor indexed="64"/>
      </patternFill>
    </fill>
    <fill>
      <patternFill patternType="solid">
        <fgColor theme="0" tint="-0.14999847407452621"/>
        <bgColor indexed="64"/>
      </patternFill>
    </fill>
    <fill>
      <patternFill patternType="solid">
        <fgColor rgb="FFFFFF00"/>
        <bgColor indexed="64"/>
      </patternFill>
    </fill>
  </fills>
  <borders count="73">
    <border>
      <left/>
      <right/>
      <top/>
      <bottom/>
      <diagonal/>
    </border>
    <border>
      <left style="thin">
        <color indexed="64"/>
      </left>
      <right style="thin">
        <color indexed="64"/>
      </right>
      <top/>
      <bottom style="medium">
        <color indexed="64"/>
      </bottom>
      <diagonal/>
    </border>
    <border>
      <left/>
      <right/>
      <top/>
      <bottom style="thin">
        <color indexed="64"/>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thin">
        <color indexed="64"/>
      </left>
      <right/>
      <top/>
      <bottom style="thin">
        <color indexed="64"/>
      </bottom>
      <diagonal/>
    </border>
    <border>
      <left style="thick">
        <color indexed="64"/>
      </left>
      <right/>
      <top/>
      <bottom style="medium">
        <color indexed="64"/>
      </bottom>
      <diagonal/>
    </border>
    <border>
      <left style="thick">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ck">
        <color indexed="64"/>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top/>
      <bottom style="thick">
        <color indexed="64"/>
      </bottom>
      <diagonal/>
    </border>
    <border>
      <left/>
      <right style="thick">
        <color indexed="64"/>
      </right>
      <top/>
      <bottom style="thin">
        <color indexed="64"/>
      </bottom>
      <diagonal/>
    </border>
    <border>
      <left style="thin">
        <color indexed="64"/>
      </left>
      <right style="thick">
        <color indexed="64"/>
      </right>
      <top/>
      <bottom style="thick">
        <color indexed="64"/>
      </bottom>
      <diagonal/>
    </border>
    <border>
      <left style="medium">
        <color indexed="64"/>
      </left>
      <right style="thick">
        <color indexed="64"/>
      </right>
      <top/>
      <bottom style="thick">
        <color indexed="64"/>
      </bottom>
      <diagonal/>
    </border>
    <border>
      <left style="medium">
        <color indexed="64"/>
      </left>
      <right style="thick">
        <color indexed="64"/>
      </right>
      <top/>
      <bottom/>
      <diagonal/>
    </border>
    <border>
      <left style="medium">
        <color indexed="64"/>
      </left>
      <right style="thick">
        <color indexed="64"/>
      </right>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6">
    <xf numFmtId="0" fontId="0" fillId="0" borderId="0"/>
    <xf numFmtId="0" fontId="3" fillId="0" borderId="0" applyNumberFormat="0" applyFill="0" applyBorder="0" applyAlignment="0" applyProtection="0">
      <alignment vertical="top"/>
      <protection locked="0"/>
    </xf>
    <xf numFmtId="0" fontId="1" fillId="0" borderId="0"/>
    <xf numFmtId="164" fontId="2" fillId="0" borderId="0" applyProtection="0"/>
    <xf numFmtId="164" fontId="2" fillId="0" borderId="0" applyProtection="0"/>
    <xf numFmtId="164" fontId="2" fillId="0" borderId="0" applyProtection="0"/>
  </cellStyleXfs>
  <cellXfs count="206">
    <xf numFmtId="0" fontId="0" fillId="0" borderId="0" xfId="0"/>
    <xf numFmtId="14" fontId="9" fillId="0" borderId="0" xfId="0" applyNumberFormat="1" applyFont="1"/>
    <xf numFmtId="0" fontId="4" fillId="0" borderId="0" xfId="0" applyFont="1"/>
    <xf numFmtId="0" fontId="4" fillId="0" borderId="0" xfId="0" applyFont="1" applyAlignment="1">
      <alignment vertical="top" wrapText="1"/>
    </xf>
    <xf numFmtId="0" fontId="0" fillId="0" borderId="0" xfId="0" applyAlignment="1">
      <alignment vertical="top" wrapText="1"/>
    </xf>
    <xf numFmtId="0" fontId="5" fillId="0" borderId="0" xfId="0" applyFont="1"/>
    <xf numFmtId="0" fontId="5" fillId="0" borderId="0" xfId="0" applyFont="1" applyAlignment="1">
      <alignment horizontal="left"/>
    </xf>
    <xf numFmtId="0" fontId="15" fillId="0" borderId="0" xfId="0" applyFont="1"/>
    <xf numFmtId="0" fontId="17" fillId="0" borderId="0" xfId="0" applyFont="1" applyAlignment="1">
      <alignment horizontal="center" vertical="top" wrapText="1"/>
    </xf>
    <xf numFmtId="0" fontId="20" fillId="0" borderId="0" xfId="0" applyFont="1"/>
    <xf numFmtId="0" fontId="3" fillId="0" borderId="0" xfId="1" applyAlignment="1" applyProtection="1"/>
    <xf numFmtId="0" fontId="4" fillId="0" borderId="0" xfId="0" applyFont="1" applyAlignment="1">
      <alignment vertical="center"/>
    </xf>
    <xf numFmtId="0" fontId="4" fillId="0" borderId="0" xfId="0" applyFont="1" applyAlignment="1">
      <alignment vertical="top"/>
    </xf>
    <xf numFmtId="0" fontId="14" fillId="0" borderId="0" xfId="0" applyFont="1" applyAlignment="1">
      <alignment vertical="center" wrapText="1"/>
    </xf>
    <xf numFmtId="0" fontId="6" fillId="0" borderId="0" xfId="0" applyFont="1" applyAlignment="1">
      <alignment horizontal="center" vertical="top"/>
    </xf>
    <xf numFmtId="0" fontId="5" fillId="0" borderId="0" xfId="0" applyFont="1" applyAlignment="1">
      <alignment vertical="top"/>
    </xf>
    <xf numFmtId="0" fontId="4" fillId="0" borderId="0" xfId="0" applyFont="1" applyAlignment="1">
      <alignment horizontal="justify" vertical="top" wrapText="1"/>
    </xf>
    <xf numFmtId="0" fontId="25" fillId="0" borderId="0" xfId="0" applyFont="1" applyAlignment="1">
      <alignment horizontal="center" vertical="top" wrapText="1"/>
    </xf>
    <xf numFmtId="2" fontId="4" fillId="0" borderId="0" xfId="0" applyNumberFormat="1" applyFont="1" applyAlignment="1">
      <alignment horizontal="center" vertical="top" wrapText="1"/>
    </xf>
    <xf numFmtId="0" fontId="26" fillId="0" borderId="0" xfId="1" applyFont="1" applyAlignment="1" applyProtection="1"/>
    <xf numFmtId="0" fontId="29" fillId="0" borderId="0" xfId="1" applyFont="1" applyAlignment="1" applyProtection="1">
      <alignment horizontal="left" vertical="center"/>
    </xf>
    <xf numFmtId="2" fontId="4" fillId="0" borderId="8" xfId="0" applyNumberFormat="1" applyFont="1" applyBorder="1" applyAlignment="1">
      <alignment horizontal="center" vertical="top" wrapText="1"/>
    </xf>
    <xf numFmtId="0" fontId="25" fillId="0" borderId="18" xfId="0" applyFont="1" applyBorder="1" applyAlignment="1" applyProtection="1">
      <alignment horizontal="center" vertical="top" wrapText="1"/>
      <protection locked="0"/>
    </xf>
    <xf numFmtId="0" fontId="25" fillId="0" borderId="6" xfId="0" applyFont="1" applyBorder="1" applyAlignment="1" applyProtection="1">
      <alignment horizontal="center" vertical="top" wrapText="1"/>
      <protection locked="0"/>
    </xf>
    <xf numFmtId="0" fontId="30" fillId="0" borderId="0" xfId="0" applyFont="1" applyAlignment="1">
      <alignment vertical="center"/>
    </xf>
    <xf numFmtId="0" fontId="31" fillId="0" borderId="0" xfId="0" applyFont="1" applyAlignment="1">
      <alignment vertical="center"/>
    </xf>
    <xf numFmtId="0" fontId="32" fillId="0" borderId="0" xfId="1" applyFont="1" applyAlignment="1" applyProtection="1">
      <alignment vertical="center"/>
    </xf>
    <xf numFmtId="0" fontId="4" fillId="0" borderId="18" xfId="0" applyFont="1" applyBorder="1" applyAlignment="1">
      <alignment horizontal="center" vertical="top" wrapText="1"/>
    </xf>
    <xf numFmtId="0" fontId="4" fillId="0" borderId="6" xfId="0" applyFont="1" applyBorder="1" applyAlignment="1">
      <alignment horizontal="center" vertical="top" wrapText="1"/>
    </xf>
    <xf numFmtId="0" fontId="4" fillId="0" borderId="9" xfId="0" applyFont="1" applyBorder="1" applyAlignment="1">
      <alignment horizontal="center" vertical="top" wrapText="1"/>
    </xf>
    <xf numFmtId="0" fontId="4" fillId="0" borderId="27" xfId="0" applyFont="1" applyBorder="1" applyAlignment="1">
      <alignment horizontal="center" vertical="top" wrapText="1"/>
    </xf>
    <xf numFmtId="0" fontId="4" fillId="0" borderId="28" xfId="0" applyFont="1" applyBorder="1" applyAlignment="1">
      <alignment horizontal="center" vertical="top" wrapText="1"/>
    </xf>
    <xf numFmtId="0" fontId="4" fillId="0" borderId="29" xfId="0" applyFont="1" applyBorder="1" applyAlignment="1">
      <alignment horizontal="center" vertical="top" wrapText="1"/>
    </xf>
    <xf numFmtId="0" fontId="33" fillId="0" borderId="0" xfId="1" applyFont="1" applyAlignment="1" applyProtection="1">
      <alignment vertical="center"/>
    </xf>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4" xfId="2" applyFont="1" applyBorder="1" applyAlignment="1">
      <alignment horizontal="left" vertical="center" wrapText="1"/>
    </xf>
    <xf numFmtId="0" fontId="6" fillId="0" borderId="35" xfId="2" applyFont="1" applyBorder="1" applyAlignment="1">
      <alignment horizontal="center" vertical="center" wrapText="1"/>
    </xf>
    <xf numFmtId="0" fontId="8" fillId="0" borderId="0" xfId="0" applyFont="1" applyAlignment="1">
      <alignment vertical="top" wrapText="1"/>
    </xf>
    <xf numFmtId="0" fontId="16" fillId="0" borderId="0" xfId="0" applyFont="1" applyAlignment="1">
      <alignment wrapText="1"/>
    </xf>
    <xf numFmtId="0" fontId="0" fillId="0" borderId="0" xfId="0" applyAlignment="1">
      <alignment vertical="center"/>
    </xf>
    <xf numFmtId="0" fontId="7" fillId="2" borderId="6" xfId="3" applyNumberFormat="1" applyFont="1" applyFill="1" applyBorder="1" applyAlignment="1" applyProtection="1">
      <alignment horizontal="center" vertical="center" wrapText="1"/>
    </xf>
    <xf numFmtId="0" fontId="7" fillId="2" borderId="8" xfId="3" applyNumberFormat="1" applyFont="1" applyFill="1" applyBorder="1" applyAlignment="1" applyProtection="1">
      <alignment horizontal="center" vertical="center" wrapText="1"/>
    </xf>
    <xf numFmtId="0" fontId="7" fillId="2" borderId="24" xfId="3" applyNumberFormat="1" applyFont="1" applyFill="1" applyBorder="1" applyAlignment="1" applyProtection="1">
      <alignment horizontal="center" vertical="center" wrapText="1"/>
    </xf>
    <xf numFmtId="0" fontId="21" fillId="0" borderId="0" xfId="1" applyFont="1" applyAlignment="1" applyProtection="1">
      <alignment vertical="center" wrapText="1"/>
    </xf>
    <xf numFmtId="0" fontId="11" fillId="2" borderId="0" xfId="0" applyFont="1" applyFill="1" applyAlignment="1">
      <alignment vertical="top" wrapText="1"/>
    </xf>
    <xf numFmtId="0" fontId="0" fillId="2" borderId="13" xfId="0" applyFill="1" applyBorder="1" applyAlignment="1">
      <alignment vertical="top"/>
    </xf>
    <xf numFmtId="164" fontId="5" fillId="0" borderId="36" xfId="4" applyFont="1" applyBorder="1" applyAlignment="1" applyProtection="1">
      <alignment horizontal="center" vertical="center" wrapText="1"/>
    </xf>
    <xf numFmtId="164" fontId="5" fillId="0" borderId="37" xfId="4" applyFont="1" applyBorder="1" applyAlignment="1" applyProtection="1">
      <alignment horizontal="center" vertical="center" wrapText="1"/>
    </xf>
    <xf numFmtId="164" fontId="5" fillId="0" borderId="37" xfId="5" applyFont="1" applyBorder="1" applyAlignment="1" applyProtection="1">
      <alignment horizontal="center" vertical="center" wrapText="1"/>
    </xf>
    <xf numFmtId="164" fontId="5" fillId="0" borderId="39" xfId="5" applyFont="1" applyBorder="1" applyAlignment="1" applyProtection="1">
      <alignment horizontal="center" vertical="center" wrapText="1"/>
    </xf>
    <xf numFmtId="164" fontId="5" fillId="2" borderId="38" xfId="4" applyFont="1" applyFill="1" applyBorder="1" applyAlignment="1" applyProtection="1">
      <alignment horizontal="center" vertical="center" wrapText="1"/>
    </xf>
    <xf numFmtId="164" fontId="5" fillId="2" borderId="37" xfId="4" applyFont="1" applyFill="1" applyBorder="1" applyAlignment="1" applyProtection="1">
      <alignment horizontal="center" vertical="center" wrapText="1"/>
    </xf>
    <xf numFmtId="164" fontId="5" fillId="2" borderId="38" xfId="5" applyFont="1" applyFill="1" applyBorder="1" applyAlignment="1" applyProtection="1">
      <alignment horizontal="center" vertical="center" wrapText="1"/>
    </xf>
    <xf numFmtId="164" fontId="5" fillId="0" borderId="1" xfId="4" applyFont="1" applyBorder="1" applyAlignment="1" applyProtection="1">
      <alignment horizontal="center" vertical="center"/>
    </xf>
    <xf numFmtId="164" fontId="5" fillId="2" borderId="1" xfId="4" applyFont="1" applyFill="1" applyBorder="1" applyAlignment="1" applyProtection="1">
      <alignment horizontal="center" vertical="center"/>
    </xf>
    <xf numFmtId="0" fontId="0" fillId="0" borderId="21" xfId="0" applyBorder="1" applyAlignment="1">
      <alignment vertical="center"/>
    </xf>
    <xf numFmtId="0" fontId="10" fillId="0" borderId="0" xfId="0" applyFont="1" applyAlignment="1">
      <alignment vertical="center"/>
    </xf>
    <xf numFmtId="0" fontId="6" fillId="0" borderId="20" xfId="2" applyFont="1" applyBorder="1" applyAlignment="1">
      <alignment vertical="center"/>
    </xf>
    <xf numFmtId="0" fontId="4" fillId="0" borderId="7" xfId="3" applyNumberFormat="1" applyFont="1" applyBorder="1" applyAlignment="1" applyProtection="1">
      <alignment horizontal="center" vertical="center" wrapText="1"/>
    </xf>
    <xf numFmtId="0" fontId="4" fillId="0" borderId="6" xfId="3" applyNumberFormat="1" applyFont="1" applyBorder="1" applyAlignment="1" applyProtection="1">
      <alignment horizontal="center" vertical="center" wrapText="1"/>
    </xf>
    <xf numFmtId="0" fontId="4" fillId="0" borderId="8" xfId="3" applyNumberFormat="1" applyFont="1" applyBorder="1" applyAlignment="1" applyProtection="1">
      <alignment horizontal="center" vertical="center" wrapText="1"/>
    </xf>
    <xf numFmtId="166" fontId="4" fillId="0" borderId="8" xfId="3" applyNumberFormat="1" applyFont="1" applyBorder="1" applyAlignment="1" applyProtection="1">
      <alignment horizontal="center" vertical="center" wrapText="1"/>
    </xf>
    <xf numFmtId="0" fontId="4" fillId="3" borderId="6" xfId="3" applyNumberFormat="1" applyFont="1" applyFill="1" applyBorder="1" applyAlignment="1" applyProtection="1">
      <alignment horizontal="center" vertical="center" wrapText="1"/>
    </xf>
    <xf numFmtId="0" fontId="4" fillId="3" borderId="8" xfId="3" applyNumberFormat="1" applyFont="1" applyFill="1" applyBorder="1" applyAlignment="1" applyProtection="1">
      <alignment horizontal="center" vertical="center" wrapText="1"/>
    </xf>
    <xf numFmtId="166" fontId="4" fillId="3" borderId="8" xfId="3" applyNumberFormat="1" applyFont="1" applyFill="1" applyBorder="1" applyAlignment="1" applyProtection="1">
      <alignment horizontal="center" vertical="center" wrapText="1"/>
    </xf>
    <xf numFmtId="166" fontId="4" fillId="3" borderId="31" xfId="3" applyNumberFormat="1"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protection locked="0"/>
    </xf>
    <xf numFmtId="0" fontId="14" fillId="0" borderId="17" xfId="0" applyFont="1" applyBorder="1" applyAlignment="1">
      <alignment horizontal="center" vertical="center"/>
    </xf>
    <xf numFmtId="164" fontId="5" fillId="0" borderId="3" xfId="4" applyFont="1" applyBorder="1" applyAlignment="1" applyProtection="1">
      <alignment horizontal="center" vertical="center"/>
    </xf>
    <xf numFmtId="164" fontId="5" fillId="0" borderId="4" xfId="4" applyFont="1" applyBorder="1" applyAlignment="1" applyProtection="1">
      <alignment horizontal="center" vertical="center"/>
    </xf>
    <xf numFmtId="164" fontId="5" fillId="0" borderId="40" xfId="4" applyFont="1" applyBorder="1" applyAlignment="1" applyProtection="1">
      <alignment horizontal="center" vertical="center"/>
    </xf>
    <xf numFmtId="0" fontId="4" fillId="0" borderId="13" xfId="0" applyFont="1" applyBorder="1"/>
    <xf numFmtId="0" fontId="4" fillId="0" borderId="5" xfId="3" applyNumberFormat="1" applyFont="1" applyBorder="1" applyAlignment="1" applyProtection="1">
      <alignment horizontal="center" vertical="center" wrapText="1"/>
    </xf>
    <xf numFmtId="0" fontId="4" fillId="0" borderId="18" xfId="3" applyNumberFormat="1" applyFont="1" applyBorder="1" applyAlignment="1" applyProtection="1">
      <alignment horizontal="center" vertical="center" wrapText="1"/>
    </xf>
    <xf numFmtId="167" fontId="4" fillId="3" borderId="24" xfId="3" applyNumberFormat="1" applyFont="1" applyFill="1" applyBorder="1" applyAlignment="1" applyProtection="1">
      <alignment horizontal="center" vertical="center" wrapText="1"/>
    </xf>
    <xf numFmtId="165" fontId="4" fillId="3" borderId="24" xfId="3" applyNumberFormat="1" applyFont="1" applyFill="1" applyBorder="1" applyAlignment="1" applyProtection="1">
      <alignment horizontal="center" vertical="center" wrapText="1"/>
    </xf>
    <xf numFmtId="167" fontId="4" fillId="3" borderId="32" xfId="3" applyNumberFormat="1" applyFont="1" applyFill="1" applyBorder="1" applyAlignment="1" applyProtection="1">
      <alignment horizontal="center" vertical="center" wrapText="1"/>
    </xf>
    <xf numFmtId="167" fontId="4" fillId="3" borderId="8" xfId="3" applyNumberFormat="1" applyFont="1" applyFill="1" applyBorder="1" applyAlignment="1" applyProtection="1">
      <alignment horizontal="center" vertical="center" wrapText="1"/>
    </xf>
    <xf numFmtId="168" fontId="4" fillId="3" borderId="8" xfId="3" applyNumberFormat="1" applyFont="1" applyFill="1" applyBorder="1" applyAlignment="1" applyProtection="1">
      <alignment horizontal="center" vertical="center" wrapText="1"/>
    </xf>
    <xf numFmtId="168" fontId="4" fillId="3" borderId="31" xfId="3" applyNumberFormat="1" applyFont="1" applyFill="1" applyBorder="1" applyAlignment="1" applyProtection="1">
      <alignment horizontal="center" vertical="center" wrapText="1"/>
    </xf>
    <xf numFmtId="165" fontId="4" fillId="3" borderId="8" xfId="3" applyNumberFormat="1" applyFont="1" applyFill="1" applyBorder="1" applyAlignment="1" applyProtection="1">
      <alignment horizontal="center" vertical="center" wrapText="1"/>
    </xf>
    <xf numFmtId="167" fontId="4" fillId="3" borderId="31" xfId="3" applyNumberFormat="1" applyFont="1" applyFill="1" applyBorder="1" applyAlignment="1" applyProtection="1">
      <alignment horizontal="center" vertical="center" wrapText="1"/>
    </xf>
    <xf numFmtId="2" fontId="4" fillId="3" borderId="8" xfId="0" applyNumberFormat="1" applyFont="1" applyFill="1" applyBorder="1" applyAlignment="1">
      <alignment horizontal="center" vertical="center" wrapText="1"/>
    </xf>
    <xf numFmtId="170" fontId="4" fillId="3" borderId="8" xfId="0" applyNumberFormat="1" applyFont="1" applyFill="1" applyBorder="1" applyAlignment="1">
      <alignment horizontal="center" vertical="center" wrapText="1"/>
    </xf>
    <xf numFmtId="170" fontId="4" fillId="3" borderId="31" xfId="0" applyNumberFormat="1" applyFont="1" applyFill="1" applyBorder="1" applyAlignment="1">
      <alignment horizontal="center" vertical="center" wrapText="1"/>
    </xf>
    <xf numFmtId="165" fontId="4" fillId="3" borderId="31" xfId="3" applyNumberFormat="1" applyFont="1" applyFill="1" applyBorder="1" applyAlignment="1" applyProtection="1">
      <alignment horizontal="center" vertical="center" wrapText="1"/>
    </xf>
    <xf numFmtId="169" fontId="4" fillId="3" borderId="8" xfId="3" applyNumberFormat="1" applyFont="1" applyFill="1" applyBorder="1" applyAlignment="1" applyProtection="1">
      <alignment horizontal="center" vertical="center" wrapText="1"/>
    </xf>
    <xf numFmtId="172" fontId="4" fillId="3" borderId="8" xfId="3" applyNumberFormat="1" applyFont="1" applyFill="1" applyBorder="1" applyAlignment="1" applyProtection="1">
      <alignment horizontal="center" vertical="center" wrapText="1"/>
    </xf>
    <xf numFmtId="0" fontId="6" fillId="0" borderId="20" xfId="2" applyFont="1" applyBorder="1" applyAlignment="1">
      <alignment vertical="center" wrapText="1"/>
    </xf>
    <xf numFmtId="0" fontId="4" fillId="0" borderId="0" xfId="2" applyFont="1"/>
    <xf numFmtId="0" fontId="0" fillId="3" borderId="0" xfId="0" applyFill="1"/>
    <xf numFmtId="0" fontId="6" fillId="0" borderId="13" xfId="0" applyFont="1" applyBorder="1"/>
    <xf numFmtId="0" fontId="3" fillId="0" borderId="0" xfId="1" applyAlignment="1" applyProtection="1">
      <alignment vertical="top"/>
    </xf>
    <xf numFmtId="0" fontId="5" fillId="0" borderId="0" xfId="2" applyFont="1"/>
    <xf numFmtId="0" fontId="6" fillId="0" borderId="55" xfId="2" applyFont="1" applyBorder="1" applyAlignment="1">
      <alignment horizontal="center" vertical="center" wrapText="1"/>
    </xf>
    <xf numFmtId="0" fontId="6" fillId="0" borderId="56" xfId="2" applyFont="1" applyBorder="1" applyAlignment="1">
      <alignment horizontal="center" vertical="center" wrapText="1"/>
    </xf>
    <xf numFmtId="164" fontId="5" fillId="2" borderId="57" xfId="4" applyFont="1" applyFill="1" applyBorder="1" applyAlignment="1" applyProtection="1">
      <alignment horizontal="center" vertical="center" wrapText="1"/>
    </xf>
    <xf numFmtId="164" fontId="5" fillId="2" borderId="58" xfId="5" applyFont="1" applyFill="1" applyBorder="1" applyAlignment="1" applyProtection="1">
      <alignment horizontal="center" vertical="center" wrapText="1"/>
    </xf>
    <xf numFmtId="164" fontId="5" fillId="2" borderId="59" xfId="4" applyFont="1" applyFill="1" applyBorder="1" applyAlignment="1" applyProtection="1">
      <alignment horizontal="center" vertical="center"/>
    </xf>
    <xf numFmtId="164" fontId="5" fillId="2" borderId="60" xfId="4" applyFont="1" applyFill="1" applyBorder="1" applyAlignment="1" applyProtection="1">
      <alignment horizontal="center" vertical="center"/>
    </xf>
    <xf numFmtId="0" fontId="7" fillId="2" borderId="61" xfId="3" applyNumberFormat="1" applyFont="1" applyFill="1" applyBorder="1" applyAlignment="1" applyProtection="1">
      <alignment horizontal="center" vertical="center" wrapText="1"/>
    </xf>
    <xf numFmtId="0" fontId="5" fillId="2" borderId="62" xfId="3" applyNumberFormat="1" applyFont="1" applyFill="1" applyBorder="1" applyAlignment="1" applyProtection="1">
      <alignment horizontal="center" vertical="center" wrapText="1"/>
    </xf>
    <xf numFmtId="0" fontId="7" fillId="2" borderId="63" xfId="3" applyNumberFormat="1" applyFont="1" applyFill="1" applyBorder="1" applyAlignment="1" applyProtection="1">
      <alignment horizontal="center" vertical="center" wrapText="1"/>
    </xf>
    <xf numFmtId="0" fontId="11" fillId="2" borderId="30" xfId="0" applyFont="1" applyFill="1" applyBorder="1" applyAlignment="1">
      <alignment vertical="top" wrapText="1"/>
    </xf>
    <xf numFmtId="0" fontId="11" fillId="2" borderId="66" xfId="0" applyFont="1" applyFill="1" applyBorder="1" applyAlignment="1">
      <alignment vertical="top" wrapText="1"/>
    </xf>
    <xf numFmtId="0" fontId="0" fillId="2" borderId="67" xfId="0" applyFill="1" applyBorder="1" applyAlignment="1">
      <alignment vertical="top"/>
    </xf>
    <xf numFmtId="0" fontId="0" fillId="2" borderId="68" xfId="0" applyFill="1" applyBorder="1" applyAlignment="1">
      <alignment vertical="top"/>
    </xf>
    <xf numFmtId="0" fontId="13" fillId="0" borderId="69" xfId="0" applyFont="1" applyBorder="1" applyAlignment="1">
      <alignment horizontal="center"/>
    </xf>
    <xf numFmtId="14" fontId="6" fillId="0" borderId="0" xfId="0" applyNumberFormat="1" applyFont="1" applyAlignment="1">
      <alignment vertical="top" wrapText="1"/>
    </xf>
    <xf numFmtId="0" fontId="0" fillId="0" borderId="69" xfId="0" applyBorder="1"/>
    <xf numFmtId="0" fontId="38" fillId="0" borderId="69" xfId="0" applyFont="1" applyBorder="1" applyAlignment="1">
      <alignment horizontal="right"/>
    </xf>
    <xf numFmtId="0" fontId="5" fillId="2" borderId="71" xfId="3" applyNumberFormat="1" applyFont="1" applyFill="1" applyBorder="1" applyAlignment="1" applyProtection="1">
      <alignment horizontal="center" vertical="center" wrapText="1"/>
    </xf>
    <xf numFmtId="0" fontId="7" fillId="2" borderId="72" xfId="3" applyNumberFormat="1" applyFont="1" applyFill="1" applyBorder="1" applyAlignment="1" applyProtection="1">
      <alignment horizontal="center" vertical="center" wrapText="1"/>
    </xf>
    <xf numFmtId="0" fontId="39" fillId="0" borderId="0" xfId="0" applyFont="1" applyAlignment="1">
      <alignment vertical="center"/>
    </xf>
    <xf numFmtId="0" fontId="0" fillId="0" borderId="48" xfId="0" applyBorder="1" applyAlignment="1">
      <alignment vertical="center"/>
    </xf>
    <xf numFmtId="0" fontId="14" fillId="0" borderId="47" xfId="0" applyFont="1" applyBorder="1" applyAlignment="1">
      <alignment vertical="center"/>
    </xf>
    <xf numFmtId="164" fontId="4" fillId="0" borderId="26" xfId="5" applyFont="1" applyBorder="1" applyAlignment="1" applyProtection="1">
      <alignment horizontal="center" vertical="center" wrapText="1"/>
    </xf>
    <xf numFmtId="164" fontId="4" fillId="2" borderId="52" xfId="4" applyFont="1" applyFill="1" applyBorder="1" applyAlignment="1" applyProtection="1">
      <alignment horizontal="center" vertical="center" wrapText="1"/>
    </xf>
    <xf numFmtId="164" fontId="4" fillId="2" borderId="46" xfId="5" applyFont="1" applyFill="1" applyBorder="1" applyAlignment="1" applyProtection="1">
      <alignment horizontal="center" vertical="center" wrapText="1"/>
    </xf>
    <xf numFmtId="0" fontId="6" fillId="0" borderId="49" xfId="2" applyFont="1" applyBorder="1" applyAlignment="1">
      <alignment vertical="center"/>
    </xf>
    <xf numFmtId="2" fontId="5" fillId="0" borderId="10" xfId="3" applyNumberFormat="1" applyFont="1" applyBorder="1" applyAlignment="1" applyProtection="1">
      <alignment horizontal="center" vertical="center" wrapText="1"/>
    </xf>
    <xf numFmtId="0" fontId="7" fillId="2" borderId="9" xfId="3" applyNumberFormat="1" applyFont="1" applyFill="1" applyBorder="1" applyAlignment="1" applyProtection="1">
      <alignment horizontal="center" vertical="center" wrapText="1"/>
    </xf>
    <xf numFmtId="0" fontId="7" fillId="2" borderId="10" xfId="3" applyNumberFormat="1" applyFont="1" applyFill="1" applyBorder="1" applyAlignment="1" applyProtection="1">
      <alignment horizontal="center" vertical="center" wrapText="1"/>
    </xf>
    <xf numFmtId="0" fontId="6" fillId="3" borderId="50" xfId="2" applyFont="1" applyFill="1" applyBorder="1" applyAlignment="1">
      <alignment vertical="center"/>
    </xf>
    <xf numFmtId="2" fontId="4" fillId="3" borderId="12" xfId="3" applyNumberFormat="1" applyFont="1" applyFill="1" applyBorder="1" applyAlignment="1" applyProtection="1">
      <alignment horizontal="center" vertical="center" wrapText="1"/>
    </xf>
    <xf numFmtId="0" fontId="6" fillId="0" borderId="50" xfId="2" applyFont="1" applyBorder="1" applyAlignment="1">
      <alignment vertical="center"/>
    </xf>
    <xf numFmtId="171" fontId="5" fillId="0" borderId="12" xfId="3" applyNumberFormat="1" applyFont="1" applyBorder="1" applyAlignment="1" applyProtection="1">
      <alignment horizontal="center" vertical="center" wrapText="1"/>
    </xf>
    <xf numFmtId="0" fontId="5" fillId="0" borderId="12" xfId="3" applyNumberFormat="1" applyFont="1" applyBorder="1" applyAlignment="1" applyProtection="1">
      <alignment horizontal="center" vertical="center" wrapText="1"/>
    </xf>
    <xf numFmtId="2" fontId="5" fillId="0" borderId="12" xfId="3" applyNumberFormat="1" applyFont="1" applyBorder="1" applyAlignment="1" applyProtection="1">
      <alignment horizontal="center" vertical="center" wrapText="1"/>
    </xf>
    <xf numFmtId="0" fontId="6" fillId="0" borderId="51" xfId="2" applyFont="1" applyBorder="1" applyAlignment="1">
      <alignment vertical="center"/>
    </xf>
    <xf numFmtId="167" fontId="5" fillId="0" borderId="26" xfId="3" applyNumberFormat="1" applyFont="1" applyBorder="1" applyAlignment="1" applyProtection="1">
      <alignment horizontal="center" vertical="center" wrapText="1"/>
    </xf>
    <xf numFmtId="0" fontId="7" fillId="2" borderId="25" xfId="3" applyNumberFormat="1" applyFont="1" applyFill="1" applyBorder="1" applyAlignment="1" applyProtection="1">
      <alignment horizontal="center" vertical="center" wrapText="1"/>
    </xf>
    <xf numFmtId="0" fontId="7" fillId="2" borderId="26" xfId="3" applyNumberFormat="1" applyFont="1" applyFill="1" applyBorder="1" applyAlignment="1" applyProtection="1">
      <alignment horizontal="center" vertical="center" wrapText="1"/>
    </xf>
    <xf numFmtId="0" fontId="5" fillId="0" borderId="43" xfId="0" applyFont="1" applyBorder="1"/>
    <xf numFmtId="0" fontId="14" fillId="0" borderId="0" xfId="0" applyFont="1" applyAlignment="1">
      <alignment vertical="center"/>
    </xf>
    <xf numFmtId="0" fontId="0" fillId="0" borderId="30" xfId="0" applyBorder="1" applyAlignment="1">
      <alignment vertical="center"/>
    </xf>
    <xf numFmtId="0" fontId="11" fillId="0" borderId="0" xfId="0" applyFont="1" applyAlignment="1">
      <alignment vertical="center" wrapText="1"/>
    </xf>
    <xf numFmtId="0" fontId="6" fillId="3" borderId="0" xfId="2" applyFont="1" applyFill="1" applyAlignment="1">
      <alignment vertical="center"/>
    </xf>
    <xf numFmtId="0" fontId="4" fillId="0" borderId="0" xfId="2" applyFont="1" applyAlignment="1">
      <alignment vertical="center"/>
    </xf>
    <xf numFmtId="0" fontId="5" fillId="0" borderId="0" xfId="0" applyFont="1" applyAlignment="1">
      <alignment vertical="center"/>
    </xf>
    <xf numFmtId="0" fontId="3" fillId="0" borderId="0" xfId="1" applyBorder="1" applyAlignment="1" applyProtection="1"/>
    <xf numFmtId="0" fontId="4" fillId="2" borderId="62" xfId="3" applyNumberFormat="1" applyFont="1" applyFill="1" applyBorder="1" applyAlignment="1" applyProtection="1">
      <alignment horizontal="center" vertical="center" wrapText="1"/>
    </xf>
    <xf numFmtId="0" fontId="14" fillId="4" borderId="70" xfId="0" applyFont="1" applyFill="1" applyBorder="1" applyAlignment="1" applyProtection="1">
      <alignment horizontal="center"/>
      <protection locked="0"/>
    </xf>
    <xf numFmtId="0" fontId="6" fillId="0" borderId="20" xfId="2" applyFont="1" applyFill="1" applyBorder="1" applyAlignment="1">
      <alignment vertical="center"/>
    </xf>
    <xf numFmtId="0" fontId="4" fillId="0" borderId="7" xfId="3" applyNumberFormat="1" applyFont="1" applyFill="1" applyBorder="1" applyAlignment="1" applyProtection="1">
      <alignment horizontal="center" vertical="center" wrapText="1"/>
    </xf>
    <xf numFmtId="0" fontId="4" fillId="0" borderId="6" xfId="3" applyNumberFormat="1" applyFont="1" applyFill="1" applyBorder="1" applyAlignment="1" applyProtection="1">
      <alignment horizontal="center" vertical="center" wrapText="1"/>
    </xf>
    <xf numFmtId="0" fontId="6" fillId="0" borderId="22" xfId="2" applyFont="1" applyFill="1" applyBorder="1" applyAlignment="1">
      <alignment vertical="center"/>
    </xf>
    <xf numFmtId="0" fontId="4" fillId="0" borderId="23" xfId="3" applyNumberFormat="1" applyFont="1" applyFill="1" applyBorder="1" applyAlignment="1" applyProtection="1">
      <alignment horizontal="center" vertical="center" wrapText="1"/>
    </xf>
    <xf numFmtId="0" fontId="4" fillId="0" borderId="24" xfId="3" applyNumberFormat="1" applyFont="1" applyFill="1" applyBorder="1" applyAlignment="1" applyProtection="1">
      <alignment horizontal="center" vertical="center" wrapText="1"/>
    </xf>
    <xf numFmtId="0" fontId="4" fillId="0" borderId="8" xfId="3" applyNumberFormat="1" applyFont="1" applyFill="1" applyBorder="1" applyAlignment="1" applyProtection="1">
      <alignment horizontal="center" vertical="center" wrapText="1"/>
    </xf>
    <xf numFmtId="0" fontId="4" fillId="0" borderId="31" xfId="3" applyNumberFormat="1"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protection locked="0"/>
    </xf>
    <xf numFmtId="0" fontId="40" fillId="0" borderId="0" xfId="1" applyFont="1" applyAlignment="1" applyProtection="1">
      <alignment horizontal="left"/>
    </xf>
    <xf numFmtId="0" fontId="16" fillId="0" borderId="0" xfId="0" applyFont="1" applyAlignment="1">
      <alignment horizontal="left" wrapText="1"/>
    </xf>
    <xf numFmtId="0" fontId="4" fillId="0" borderId="0" xfId="0" applyFont="1" applyAlignment="1">
      <alignment horizontal="justify" vertical="top" wrapText="1"/>
    </xf>
    <xf numFmtId="0" fontId="0" fillId="0" borderId="0" xfId="0" applyAlignment="1">
      <alignment horizontal="justify" vertical="top" wrapText="1"/>
    </xf>
    <xf numFmtId="0" fontId="4"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top" wrapText="1"/>
    </xf>
    <xf numFmtId="0" fontId="5" fillId="0" borderId="0" xfId="0" applyFont="1" applyAlignment="1">
      <alignment horizontal="left" vertical="top" wrapText="1"/>
    </xf>
    <xf numFmtId="49" fontId="4" fillId="0" borderId="0" xfId="0" applyNumberFormat="1" applyFont="1" applyAlignment="1">
      <alignment horizontal="left" vertical="top" wrapText="1"/>
    </xf>
    <xf numFmtId="0" fontId="33" fillId="0" borderId="0" xfId="1" applyFont="1" applyAlignment="1" applyProtection="1">
      <alignment horizontal="left" vertical="center"/>
    </xf>
    <xf numFmtId="0" fontId="5" fillId="0" borderId="0" xfId="0" applyFont="1" applyAlignment="1">
      <alignment horizontal="center" vertical="center"/>
    </xf>
    <xf numFmtId="0" fontId="0" fillId="0" borderId="0" xfId="0" applyAlignment="1">
      <alignment horizontal="left" vertical="top" wrapText="1"/>
    </xf>
    <xf numFmtId="0" fontId="3" fillId="0" borderId="0" xfId="1" applyAlignment="1" applyProtection="1">
      <alignment horizontal="left" vertical="center"/>
    </xf>
    <xf numFmtId="0" fontId="33" fillId="0" borderId="0" xfId="1" applyFont="1" applyAlignment="1" applyProtection="1">
      <alignment vertical="center"/>
    </xf>
    <xf numFmtId="0" fontId="4" fillId="0" borderId="0" xfId="1" applyFont="1" applyAlignment="1" applyProtection="1">
      <alignment horizontal="left"/>
    </xf>
    <xf numFmtId="0" fontId="4" fillId="0" borderId="0" xfId="0" applyFont="1" applyAlignment="1">
      <alignment horizontal="left"/>
    </xf>
    <xf numFmtId="0" fontId="18" fillId="2" borderId="6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65" xfId="0" applyFont="1" applyFill="1" applyBorder="1" applyAlignment="1">
      <alignment horizontal="center" vertical="center" wrapText="1"/>
    </xf>
    <xf numFmtId="0" fontId="39" fillId="0" borderId="0" xfId="1" applyFont="1" applyAlignment="1" applyProtection="1">
      <alignment vertical="center" wrapText="1"/>
    </xf>
    <xf numFmtId="0" fontId="39" fillId="0" borderId="0" xfId="0" applyFont="1" applyAlignment="1">
      <alignment vertical="center"/>
    </xf>
    <xf numFmtId="0" fontId="21" fillId="0" borderId="0" xfId="1" applyFont="1" applyAlignment="1" applyProtection="1">
      <alignment vertical="center" wrapText="1"/>
    </xf>
    <xf numFmtId="0" fontId="0" fillId="0" borderId="0" xfId="0"/>
    <xf numFmtId="0" fontId="6" fillId="0" borderId="42" xfId="2" applyFont="1" applyBorder="1" applyAlignment="1">
      <alignment horizontal="left" vertical="center" wrapText="1"/>
    </xf>
    <xf numFmtId="0" fontId="6" fillId="0" borderId="41" xfId="2" applyFont="1" applyBorder="1" applyAlignment="1">
      <alignment horizontal="left" vertical="center" wrapText="1"/>
    </xf>
    <xf numFmtId="0" fontId="18" fillId="0" borderId="16" xfId="0" applyFont="1" applyBorder="1" applyAlignment="1">
      <alignment horizontal="center" vertical="center"/>
    </xf>
    <xf numFmtId="0" fontId="18" fillId="0" borderId="43" xfId="0" applyFont="1" applyBorder="1" applyAlignment="1">
      <alignment horizontal="center" vertical="center"/>
    </xf>
    <xf numFmtId="164" fontId="4" fillId="0" borderId="22" xfId="4" applyFont="1" applyBorder="1" applyAlignment="1" applyProtection="1">
      <alignment horizontal="center" vertical="center" wrapText="1"/>
    </xf>
    <xf numFmtId="164" fontId="4" fillId="0" borderId="25" xfId="4" applyFont="1" applyBorder="1" applyAlignment="1" applyProtection="1">
      <alignment horizontal="center" vertical="center" wrapText="1"/>
    </xf>
    <xf numFmtId="0" fontId="34" fillId="0" borderId="0" xfId="1" applyFont="1" applyBorder="1" applyAlignment="1" applyProtection="1">
      <alignment horizontal="left" vertical="center"/>
    </xf>
    <xf numFmtId="0" fontId="37" fillId="0" borderId="44" xfId="1" applyFont="1" applyBorder="1" applyAlignment="1" applyProtection="1">
      <alignment vertical="center" wrapText="1"/>
    </xf>
    <xf numFmtId="14" fontId="4" fillId="0" borderId="0" xfId="0" applyNumberFormat="1" applyFont="1"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5" fillId="0" borderId="20" xfId="3" applyNumberFormat="1" applyFont="1" applyBorder="1" applyAlignment="1" applyProtection="1">
      <alignment horizontal="center" vertical="center" wrapText="1"/>
    </xf>
    <xf numFmtId="0" fontId="5" fillId="0" borderId="11" xfId="3" applyNumberFormat="1" applyFont="1" applyBorder="1" applyAlignment="1" applyProtection="1">
      <alignment horizontal="center" vertical="center" wrapText="1"/>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28" fillId="0" borderId="45" xfId="0" applyFont="1" applyBorder="1" applyAlignment="1">
      <alignment horizontal="center" vertical="center"/>
    </xf>
    <xf numFmtId="0" fontId="27" fillId="2" borderId="2" xfId="0" applyFont="1" applyFill="1" applyBorder="1" applyAlignment="1">
      <alignment horizontal="center" vertical="center" wrapText="1"/>
    </xf>
    <xf numFmtId="0" fontId="28" fillId="2" borderId="45" xfId="0" applyFont="1" applyFill="1" applyBorder="1" applyAlignment="1">
      <alignment horizontal="center" vertical="center" wrapText="1"/>
    </xf>
    <xf numFmtId="2" fontId="5" fillId="0" borderId="20" xfId="3" applyNumberFormat="1" applyFont="1" applyBorder="1" applyAlignment="1" applyProtection="1">
      <alignment horizontal="center" vertical="center" wrapText="1"/>
    </xf>
    <xf numFmtId="2" fontId="5" fillId="0" borderId="11" xfId="3" applyNumberFormat="1" applyFont="1" applyBorder="1" applyAlignment="1" applyProtection="1">
      <alignment horizontal="center" vertical="center" wrapText="1"/>
    </xf>
    <xf numFmtId="167" fontId="5" fillId="0" borderId="22" xfId="3" applyNumberFormat="1" applyFont="1" applyBorder="1" applyAlignment="1" applyProtection="1">
      <alignment horizontal="center" vertical="center" wrapText="1"/>
    </xf>
    <xf numFmtId="167" fontId="5" fillId="0" borderId="25" xfId="3" applyNumberFormat="1" applyFont="1" applyBorder="1" applyAlignment="1" applyProtection="1">
      <alignment horizontal="center" vertical="center" wrapText="1"/>
    </xf>
    <xf numFmtId="2" fontId="4" fillId="3" borderId="20" xfId="3" applyNumberFormat="1" applyFont="1" applyFill="1" applyBorder="1" applyAlignment="1" applyProtection="1">
      <alignment horizontal="center" vertical="center" wrapText="1"/>
    </xf>
    <xf numFmtId="2" fontId="4" fillId="3" borderId="11" xfId="3" applyNumberFormat="1" applyFont="1" applyFill="1" applyBorder="1" applyAlignment="1" applyProtection="1">
      <alignment horizontal="center" vertical="center" wrapText="1"/>
    </xf>
    <xf numFmtId="167" fontId="5" fillId="0" borderId="20" xfId="3" applyNumberFormat="1" applyFont="1" applyBorder="1" applyAlignment="1" applyProtection="1">
      <alignment horizontal="center" vertical="center" wrapText="1"/>
    </xf>
    <xf numFmtId="167" fontId="5" fillId="0" borderId="11" xfId="3" applyNumberFormat="1" applyFont="1" applyBorder="1" applyAlignment="1" applyProtection="1">
      <alignment horizontal="center" vertical="center" wrapText="1"/>
    </xf>
    <xf numFmtId="0" fontId="17" fillId="0" borderId="53" xfId="0" applyFont="1" applyBorder="1" applyAlignment="1">
      <alignment horizontal="center" vertical="center"/>
    </xf>
    <xf numFmtId="0" fontId="17" fillId="0" borderId="54" xfId="0" applyFont="1" applyBorder="1" applyAlignment="1">
      <alignment horizontal="center" vertical="center"/>
    </xf>
  </cellXfs>
  <cellStyles count="6">
    <cellStyle name="Lien hypertexte" xfId="1" builtinId="8"/>
    <cellStyle name="Normal" xfId="0" builtinId="0"/>
    <cellStyle name="Normal_ChiffrierCalculOer" xfId="2" xr:uid="{00000000-0005-0000-0000-000002000000}"/>
    <cellStyle name="Normal_DÉSENC.-TISSUS-SPC.  (DOUCE)" xfId="3" xr:uid="{00000000-0005-0000-0000-000003000000}"/>
    <cellStyle name="Normal_kraft- EAU DOUCE_1" xfId="4" xr:uid="{00000000-0005-0000-0000-000004000000}"/>
    <cellStyle name="Normal_kraft- EAU DOUCE_kraft- ED  O.E.R." xfId="5" xr:uid="{00000000-0005-0000-0000-000005000000}"/>
  </cellStyles>
  <dxfs count="2">
    <dxf>
      <font>
        <condense val="0"/>
        <extend val="0"/>
        <color indexed="10"/>
      </font>
    </dxf>
    <dxf>
      <font>
        <b val="0"/>
        <i val="0"/>
        <condense val="0"/>
        <extend val="0"/>
        <color indexed="10"/>
      </font>
    </dxf>
  </dxfs>
  <tableStyles count="0" defaultTableStyle="TableStyleMedium2" defaultPivotStyle="PivotStyleLight16"/>
  <colors>
    <mruColors>
      <color rgb="FF33CC33"/>
      <color rgb="FF008000"/>
      <color rgb="FF00CC00"/>
      <color rgb="FFFFFF66"/>
      <color rgb="FF00FF00"/>
      <color rgb="FFCCECFF"/>
      <color rgb="FFCCFFFF"/>
      <color rgb="FF66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57150</xdr:rowOff>
    </xdr:from>
    <xdr:to>
      <xdr:col>2</xdr:col>
      <xdr:colOff>609867</xdr:colOff>
      <xdr:row>3</xdr:row>
      <xdr:rowOff>162043</xdr:rowOff>
    </xdr:to>
    <xdr:pic>
      <xdr:nvPicPr>
        <xdr:cNvPr id="2" name="Image 1">
          <a:extLst>
            <a:ext uri="{FF2B5EF4-FFF2-40B4-BE49-F238E27FC236}">
              <a16:creationId xmlns:a16="http://schemas.microsoft.com/office/drawing/2014/main" id="{41BF2613-AB50-4581-A0A3-D80F8749A3D8}"/>
            </a:ext>
          </a:extLst>
        </xdr:cNvPr>
        <xdr:cNvPicPr>
          <a:picLocks noChangeAspect="1"/>
        </xdr:cNvPicPr>
      </xdr:nvPicPr>
      <xdr:blipFill>
        <a:blip xmlns:r="http://schemas.openxmlformats.org/officeDocument/2006/relationships" r:embed="rId1"/>
        <a:stretch>
          <a:fillRect/>
        </a:stretch>
      </xdr:blipFill>
      <xdr:spPr>
        <a:xfrm>
          <a:off x="323850" y="219075"/>
          <a:ext cx="1914792" cy="84784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riteres.eau@mddelcc.gouv.qc.ca" TargetMode="External"/><Relationship Id="rId13" Type="http://schemas.openxmlformats.org/officeDocument/2006/relationships/hyperlink" Target="mailto:criteres.eau@environnement.gouv.qc.ca" TargetMode="External"/><Relationship Id="rId18" Type="http://schemas.openxmlformats.org/officeDocument/2006/relationships/drawing" Target="../drawings/drawing1.xml"/><Relationship Id="rId3" Type="http://schemas.openxmlformats.org/officeDocument/2006/relationships/hyperlink" Target="http://www.mddep.gouv.qc.ca/eau/criteres_eau/index.asp" TargetMode="External"/><Relationship Id="rId7" Type="http://schemas.openxmlformats.org/officeDocument/2006/relationships/hyperlink" Target="http://www.mddep.gouv.qc.ca/eau/oer/index.htm" TargetMode="External"/><Relationship Id="rId12" Type="http://schemas.openxmlformats.org/officeDocument/2006/relationships/hyperlink" Target="http://www.mddefp.gouv.qc.ca/eau/oer/index.htm" TargetMode="External"/><Relationship Id="rId17" Type="http://schemas.openxmlformats.org/officeDocument/2006/relationships/printerSettings" Target="../printerSettings/printerSettings1.bin"/><Relationship Id="rId2" Type="http://schemas.openxmlformats.org/officeDocument/2006/relationships/hyperlink" Target="http://www.mddefp.gouv.qc.ca/eau/criteres_eau/index.asp" TargetMode="External"/><Relationship Id="rId16" Type="http://schemas.openxmlformats.org/officeDocument/2006/relationships/hyperlink" Target="http://www.environnement.gouv.qc.ca/eau/criteres_eau/index.asp" TargetMode="External"/><Relationship Id="rId1" Type="http://schemas.openxmlformats.org/officeDocument/2006/relationships/hyperlink" Target="http://www.mddefp.gouv.qc.ca/eau/criteres_eau/index.asp" TargetMode="External"/><Relationship Id="rId6" Type="http://schemas.openxmlformats.org/officeDocument/2006/relationships/hyperlink" Target="http://www.mddep.gouv.qc.ca/eau/criteres_eau/generales.htm" TargetMode="External"/><Relationship Id="rId11" Type="http://schemas.openxmlformats.org/officeDocument/2006/relationships/hyperlink" Target="http://www.mddefp.gouv.qc.ca/eau/criteres_eau/generales.htm" TargetMode="External"/><Relationship Id="rId5" Type="http://schemas.openxmlformats.org/officeDocument/2006/relationships/hyperlink" Target="http://www.mddep.gouv.qc.ca/eau/criteres_eau/fondements.htm" TargetMode="External"/><Relationship Id="rId15" Type="http://schemas.openxmlformats.org/officeDocument/2006/relationships/hyperlink" Target="http://www.mddelcc.gouv.qc.ca/eau/criteres_eau/generales.htm" TargetMode="External"/><Relationship Id="rId10" Type="http://schemas.openxmlformats.org/officeDocument/2006/relationships/hyperlink" Target="http://www.mddefp.gouv.qc.ca/eau/criteres_eau/fondements.htm" TargetMode="External"/><Relationship Id="rId4" Type="http://schemas.openxmlformats.org/officeDocument/2006/relationships/hyperlink" Target="http://www.ceaeq.gouv.qc.ca/methodes/methode_para.htm" TargetMode="External"/><Relationship Id="rId9" Type="http://schemas.openxmlformats.org/officeDocument/2006/relationships/hyperlink" Target="http://www.mddefp.gouv.qc.ca/eau/criteres_eau/index.asp" TargetMode="External"/><Relationship Id="rId14" Type="http://schemas.openxmlformats.org/officeDocument/2006/relationships/hyperlink" Target="http://www.ceaeq.gouv.qc.ca/accreditation/Terminologie_metaux.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riteres.eau@environnement.gouv.qc.ca" TargetMode="External"/><Relationship Id="rId2" Type="http://schemas.openxmlformats.org/officeDocument/2006/relationships/hyperlink" Target="http://www.ceaeq.gouv.qc.ca/accreditation/Terminologie_metaux.pdf" TargetMode="External"/><Relationship Id="rId1" Type="http://schemas.openxmlformats.org/officeDocument/2006/relationships/hyperlink" Target="http://www.ceaeq.gouv.qc.ca/accreditation/Terminologie_metaux.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criteres.eau@environnement.gouv.qc.ca"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L54"/>
  <sheetViews>
    <sheetView showGridLines="0" showRowColHeaders="0" tabSelected="1" zoomScaleNormal="100" workbookViewId="0">
      <pane ySplit="7" topLeftCell="A8" activePane="bottomLeft" state="frozen"/>
      <selection pane="bottomLeft" activeCell="A38" sqref="A38:L38"/>
    </sheetView>
  </sheetViews>
  <sheetFormatPr baseColWidth="10" defaultRowHeight="13.2" x14ac:dyDescent="0.25"/>
  <cols>
    <col min="2" max="2" width="13" customWidth="1"/>
    <col min="3" max="3" width="15.6640625" customWidth="1"/>
    <col min="6" max="6" width="12.5546875" bestFit="1" customWidth="1"/>
    <col min="7" max="7" width="16.5546875" customWidth="1"/>
  </cols>
  <sheetData>
    <row r="2" spans="1:12" ht="44.4" x14ac:dyDescent="0.7">
      <c r="I2" s="153" t="s">
        <v>33</v>
      </c>
      <c r="J2" s="153"/>
    </row>
    <row r="3" spans="1:12" ht="14.25" customHeight="1" x14ac:dyDescent="0.25">
      <c r="I3" s="154" t="s">
        <v>62</v>
      </c>
      <c r="J3" s="154"/>
      <c r="K3" s="154"/>
      <c r="L3" s="39"/>
    </row>
    <row r="4" spans="1:12" ht="14.25" customHeight="1" x14ac:dyDescent="0.25">
      <c r="I4" s="154"/>
      <c r="J4" s="154"/>
      <c r="K4" s="154"/>
      <c r="L4" s="39"/>
    </row>
    <row r="7" spans="1:12" ht="15.6" x14ac:dyDescent="0.25">
      <c r="A7" s="159" t="s">
        <v>35</v>
      </c>
      <c r="B7" s="165"/>
      <c r="C7" s="165"/>
      <c r="D7" s="165"/>
      <c r="E7" s="165"/>
      <c r="F7" s="165"/>
      <c r="G7" s="165"/>
      <c r="H7" s="165"/>
      <c r="I7" s="165"/>
      <c r="J7" s="165"/>
      <c r="K7" s="165"/>
      <c r="L7" s="165"/>
    </row>
    <row r="9" spans="1:12" x14ac:dyDescent="0.25">
      <c r="A9" s="155" t="s">
        <v>96</v>
      </c>
      <c r="B9" s="155"/>
      <c r="C9" s="155"/>
      <c r="D9" s="155"/>
      <c r="E9" s="155"/>
      <c r="F9" s="155"/>
      <c r="G9" s="155"/>
      <c r="H9" s="155"/>
      <c r="I9" s="155"/>
      <c r="J9" s="155"/>
      <c r="K9" s="155"/>
      <c r="L9" s="155"/>
    </row>
    <row r="10" spans="1:12" ht="81" customHeight="1" x14ac:dyDescent="0.25">
      <c r="A10" s="155"/>
      <c r="B10" s="155"/>
      <c r="C10" s="155"/>
      <c r="D10" s="155"/>
      <c r="E10" s="155"/>
      <c r="F10" s="155"/>
      <c r="G10" s="155"/>
      <c r="H10" s="155"/>
      <c r="I10" s="155"/>
      <c r="J10" s="155"/>
      <c r="K10" s="155"/>
      <c r="L10" s="155"/>
    </row>
    <row r="11" spans="1:12" ht="12.75" customHeight="1" x14ac:dyDescent="0.25">
      <c r="A11" s="16"/>
      <c r="B11" s="16"/>
      <c r="C11" s="16"/>
      <c r="D11" s="16"/>
      <c r="E11" s="16"/>
      <c r="F11" s="16"/>
      <c r="G11" s="16"/>
      <c r="H11" s="16"/>
      <c r="I11" s="16"/>
      <c r="J11" s="16"/>
      <c r="K11" s="16"/>
      <c r="L11" s="16"/>
    </row>
    <row r="12" spans="1:12" ht="93" customHeight="1" x14ac:dyDescent="0.25">
      <c r="A12" s="155" t="s">
        <v>69</v>
      </c>
      <c r="B12" s="155"/>
      <c r="C12" s="155"/>
      <c r="D12" s="155"/>
      <c r="E12" s="155"/>
      <c r="F12" s="155"/>
      <c r="G12" s="155"/>
      <c r="H12" s="155"/>
      <c r="I12" s="155"/>
      <c r="J12" s="155"/>
      <c r="K12" s="155"/>
      <c r="L12" s="155"/>
    </row>
    <row r="13" spans="1:12" ht="12.75" customHeight="1" x14ac:dyDescent="0.25">
      <c r="A13" s="4"/>
      <c r="B13" s="4"/>
      <c r="C13" s="4"/>
      <c r="D13" s="4"/>
      <c r="E13" s="4"/>
      <c r="F13" s="4"/>
      <c r="G13" s="4"/>
      <c r="H13" s="4"/>
      <c r="I13" s="4"/>
      <c r="J13" s="4"/>
      <c r="K13" s="4"/>
      <c r="L13" s="4"/>
    </row>
    <row r="14" spans="1:12" ht="105" customHeight="1" x14ac:dyDescent="0.25">
      <c r="A14" s="155" t="s">
        <v>70</v>
      </c>
      <c r="B14" s="155"/>
      <c r="C14" s="155"/>
      <c r="D14" s="155"/>
      <c r="E14" s="155"/>
      <c r="F14" s="155"/>
      <c r="G14" s="155"/>
      <c r="H14" s="155"/>
      <c r="I14" s="155"/>
      <c r="J14" s="155"/>
      <c r="K14" s="155"/>
      <c r="L14" s="155"/>
    </row>
    <row r="15" spans="1:12" ht="12.75" customHeight="1" x14ac:dyDescent="0.25">
      <c r="A15" s="4"/>
      <c r="B15" s="4"/>
      <c r="C15" s="4"/>
      <c r="D15" s="4"/>
      <c r="E15" s="4"/>
      <c r="F15" s="4"/>
      <c r="G15" s="4"/>
      <c r="H15" s="4"/>
      <c r="I15" s="4"/>
      <c r="J15" s="4"/>
      <c r="K15" s="4"/>
      <c r="L15" s="4"/>
    </row>
    <row r="16" spans="1:12" ht="41.25" customHeight="1" x14ac:dyDescent="0.25">
      <c r="A16" s="155" t="s">
        <v>67</v>
      </c>
      <c r="B16" s="155"/>
      <c r="C16" s="155"/>
      <c r="D16" s="155"/>
      <c r="E16" s="155"/>
      <c r="F16" s="155"/>
      <c r="G16" s="155"/>
      <c r="H16" s="155"/>
      <c r="I16" s="155"/>
      <c r="J16" s="155"/>
      <c r="K16" s="155"/>
      <c r="L16" s="155"/>
    </row>
    <row r="17" spans="1:12" ht="17.25" customHeight="1" x14ac:dyDescent="0.25">
      <c r="D17" s="4"/>
      <c r="E17" s="30" t="s">
        <v>39</v>
      </c>
      <c r="F17" s="31" t="s">
        <v>40</v>
      </c>
      <c r="G17" s="32" t="s">
        <v>41</v>
      </c>
      <c r="H17" s="3"/>
      <c r="I17" s="3"/>
      <c r="J17" s="3"/>
      <c r="K17" s="3"/>
      <c r="L17" s="3"/>
    </row>
    <row r="18" spans="1:12" ht="21" customHeight="1" x14ac:dyDescent="0.25">
      <c r="D18" s="4"/>
      <c r="E18" s="27" t="s">
        <v>48</v>
      </c>
      <c r="F18" s="28" t="s">
        <v>48</v>
      </c>
      <c r="G18" s="29" t="s">
        <v>68</v>
      </c>
      <c r="H18" s="3"/>
      <c r="I18" s="3"/>
      <c r="J18" s="3"/>
      <c r="K18" s="3"/>
      <c r="L18" s="3"/>
    </row>
    <row r="19" spans="1:12" ht="17.25" customHeight="1" x14ac:dyDescent="0.25">
      <c r="D19" s="3"/>
      <c r="E19" s="22">
        <v>3</v>
      </c>
      <c r="F19" s="23">
        <v>7</v>
      </c>
      <c r="G19" s="21">
        <f>(2.497*E19)+(4.118*F19)</f>
        <v>36.317</v>
      </c>
      <c r="H19" s="3"/>
      <c r="I19" s="3"/>
      <c r="J19" s="3"/>
      <c r="K19" s="3"/>
      <c r="L19" s="3"/>
    </row>
    <row r="20" spans="1:12" ht="12.75" customHeight="1" x14ac:dyDescent="0.25">
      <c r="A20" s="17"/>
      <c r="B20" s="17"/>
      <c r="C20" s="18"/>
      <c r="D20" s="3"/>
      <c r="E20" s="3"/>
      <c r="F20" s="3"/>
      <c r="G20" s="3"/>
      <c r="H20" s="3"/>
      <c r="I20" s="3"/>
      <c r="J20" s="3"/>
      <c r="K20" s="3"/>
      <c r="L20" s="3"/>
    </row>
    <row r="21" spans="1:12" ht="107.25" customHeight="1" x14ac:dyDescent="0.25">
      <c r="A21" s="155" t="s">
        <v>72</v>
      </c>
      <c r="B21" s="155"/>
      <c r="C21" s="155"/>
      <c r="D21" s="155"/>
      <c r="E21" s="155"/>
      <c r="F21" s="155"/>
      <c r="G21" s="155"/>
      <c r="H21" s="155"/>
      <c r="I21" s="155"/>
      <c r="J21" s="155"/>
      <c r="K21" s="155"/>
      <c r="L21" s="155"/>
    </row>
    <row r="22" spans="1:12" ht="12.75" customHeight="1" x14ac:dyDescent="0.25">
      <c r="A22" s="16"/>
      <c r="B22" s="16"/>
      <c r="C22" s="16"/>
      <c r="D22" s="16"/>
      <c r="E22" s="16"/>
      <c r="F22" s="16"/>
      <c r="G22" s="16"/>
      <c r="H22" s="16"/>
      <c r="I22" s="16"/>
      <c r="J22" s="16"/>
      <c r="K22" s="16"/>
      <c r="L22" s="16"/>
    </row>
    <row r="23" spans="1:12" ht="93" customHeight="1" x14ac:dyDescent="0.25">
      <c r="A23" s="155" t="s">
        <v>71</v>
      </c>
      <c r="B23" s="156"/>
      <c r="C23" s="156"/>
      <c r="D23" s="156"/>
      <c r="E23" s="156"/>
      <c r="F23" s="156"/>
      <c r="G23" s="156"/>
      <c r="H23" s="156"/>
      <c r="I23" s="156"/>
      <c r="J23" s="156"/>
      <c r="K23" s="156"/>
      <c r="L23" s="156"/>
    </row>
    <row r="24" spans="1:12" ht="12.75" customHeight="1" x14ac:dyDescent="0.25">
      <c r="A24" s="155"/>
      <c r="B24" s="155"/>
      <c r="C24" s="155"/>
      <c r="D24" s="155"/>
      <c r="E24" s="155"/>
      <c r="F24" s="155"/>
      <c r="G24" s="155"/>
      <c r="H24" s="155"/>
      <c r="I24" s="155"/>
      <c r="J24" s="155"/>
      <c r="K24" s="155"/>
      <c r="L24" s="155"/>
    </row>
    <row r="25" spans="1:12" ht="47.25" customHeight="1" x14ac:dyDescent="0.25">
      <c r="A25" s="155" t="s">
        <v>50</v>
      </c>
      <c r="B25" s="155"/>
      <c r="C25" s="155"/>
      <c r="D25" s="155"/>
      <c r="E25" s="155"/>
      <c r="F25" s="155"/>
      <c r="G25" s="155"/>
      <c r="H25" s="155"/>
      <c r="I25" s="155"/>
      <c r="J25" s="155"/>
      <c r="K25" s="155"/>
      <c r="L25" s="155"/>
    </row>
    <row r="26" spans="1:12" ht="12.75" customHeight="1" x14ac:dyDescent="0.25">
      <c r="A26" s="4"/>
      <c r="B26" s="4"/>
      <c r="C26" s="4"/>
      <c r="D26" s="4"/>
      <c r="E26" s="4"/>
      <c r="F26" s="4"/>
      <c r="G26" s="4"/>
      <c r="H26" s="4"/>
      <c r="I26" s="4"/>
      <c r="J26" s="4"/>
      <c r="K26" s="4"/>
      <c r="L26" s="4"/>
    </row>
    <row r="27" spans="1:12" ht="48.75" customHeight="1" x14ac:dyDescent="0.25">
      <c r="A27" s="155" t="s">
        <v>49</v>
      </c>
      <c r="B27" s="155"/>
      <c r="C27" s="155"/>
      <c r="D27" s="155"/>
      <c r="E27" s="155"/>
      <c r="F27" s="155"/>
      <c r="G27" s="155"/>
      <c r="H27" s="155"/>
      <c r="I27" s="155"/>
      <c r="J27" s="155"/>
      <c r="K27" s="155"/>
      <c r="L27" s="155"/>
    </row>
    <row r="28" spans="1:12" ht="12.75" customHeight="1" x14ac:dyDescent="0.25">
      <c r="A28" s="4"/>
      <c r="B28" s="4"/>
      <c r="C28" s="4"/>
      <c r="D28" s="4"/>
      <c r="E28" s="4"/>
      <c r="F28" s="4"/>
      <c r="G28" s="4"/>
      <c r="H28" s="4"/>
      <c r="I28" s="4"/>
      <c r="J28" s="4"/>
      <c r="K28" s="4"/>
      <c r="L28" s="4"/>
    </row>
    <row r="29" spans="1:12" ht="66" customHeight="1" x14ac:dyDescent="0.25">
      <c r="A29" s="155" t="s">
        <v>0</v>
      </c>
      <c r="B29" s="155"/>
      <c r="C29" s="155"/>
      <c r="D29" s="155"/>
      <c r="E29" s="155"/>
      <c r="F29" s="155"/>
      <c r="G29" s="155"/>
      <c r="H29" s="155"/>
      <c r="I29" s="155"/>
      <c r="J29" s="155"/>
      <c r="K29" s="155"/>
      <c r="L29" s="155"/>
    </row>
    <row r="30" spans="1:12" ht="12.75" customHeight="1" x14ac:dyDescent="0.25">
      <c r="A30" s="16"/>
      <c r="B30" s="16"/>
      <c r="C30" s="16"/>
      <c r="D30" s="16"/>
      <c r="E30" s="16"/>
      <c r="F30" s="16"/>
      <c r="G30" s="16"/>
      <c r="H30" s="16"/>
      <c r="I30" s="16"/>
      <c r="J30" s="16"/>
      <c r="K30" s="16"/>
      <c r="L30" s="16"/>
    </row>
    <row r="31" spans="1:12" ht="15.75" customHeight="1" x14ac:dyDescent="0.25">
      <c r="A31" s="158" t="s">
        <v>43</v>
      </c>
      <c r="B31" s="158"/>
      <c r="C31" s="158"/>
      <c r="D31" s="158"/>
      <c r="E31" s="158"/>
      <c r="F31" s="158"/>
      <c r="G31" s="158"/>
      <c r="H31" s="158"/>
      <c r="I31" s="158"/>
      <c r="J31" s="158"/>
      <c r="K31" s="158"/>
      <c r="L31" s="158"/>
    </row>
    <row r="32" spans="1:12" x14ac:dyDescent="0.25">
      <c r="A32" s="8"/>
      <c r="B32" s="8"/>
      <c r="C32" s="8"/>
      <c r="D32" s="8"/>
      <c r="E32" s="8"/>
      <c r="F32" s="8"/>
      <c r="G32" s="8"/>
      <c r="H32" s="8"/>
      <c r="I32" s="8"/>
      <c r="J32" s="8"/>
      <c r="K32" s="8"/>
      <c r="L32" s="8"/>
    </row>
    <row r="33" spans="1:12" ht="63" customHeight="1" x14ac:dyDescent="0.25">
      <c r="A33" s="155" t="s">
        <v>95</v>
      </c>
      <c r="B33" s="155"/>
      <c r="C33" s="155"/>
      <c r="D33" s="155"/>
      <c r="E33" s="155"/>
      <c r="F33" s="155"/>
      <c r="G33" s="155"/>
      <c r="H33" s="155"/>
      <c r="I33" s="155"/>
      <c r="J33" s="155"/>
      <c r="K33" s="155"/>
      <c r="L33" s="155"/>
    </row>
    <row r="35" spans="1:12" ht="30" customHeight="1" x14ac:dyDescent="0.25">
      <c r="A35" s="158" t="s">
        <v>36</v>
      </c>
      <c r="B35" s="158"/>
      <c r="C35" s="158"/>
      <c r="D35" s="158"/>
      <c r="E35" s="158"/>
      <c r="F35" s="158"/>
      <c r="G35" s="158"/>
      <c r="H35" s="158"/>
      <c r="I35" s="158"/>
      <c r="J35" s="158"/>
      <c r="K35" s="158"/>
      <c r="L35" s="158"/>
    </row>
    <row r="36" spans="1:12" x14ac:dyDescent="0.25">
      <c r="B36" s="8"/>
      <c r="C36" s="8"/>
      <c r="D36" s="8"/>
      <c r="E36" s="8"/>
      <c r="F36" s="8"/>
      <c r="G36" s="8"/>
      <c r="H36" s="8"/>
      <c r="I36" s="8"/>
      <c r="J36" s="8"/>
      <c r="K36" s="8"/>
      <c r="L36" s="8"/>
    </row>
    <row r="37" spans="1:12" ht="15" x14ac:dyDescent="0.25">
      <c r="A37" s="161" t="s">
        <v>64</v>
      </c>
      <c r="B37" s="162"/>
      <c r="C37" s="162"/>
      <c r="D37" s="162"/>
      <c r="E37" s="162"/>
      <c r="F37" s="162"/>
      <c r="G37" s="162"/>
      <c r="H37" s="162"/>
      <c r="I37" s="162"/>
      <c r="J37" s="162"/>
      <c r="K37" s="162"/>
      <c r="L37" s="162"/>
    </row>
    <row r="38" spans="1:12" ht="15" customHeight="1" x14ac:dyDescent="0.25">
      <c r="A38" s="161" t="s">
        <v>63</v>
      </c>
      <c r="B38" s="166"/>
      <c r="C38" s="166"/>
      <c r="D38" s="166"/>
      <c r="E38" s="166"/>
      <c r="F38" s="166"/>
      <c r="G38" s="166"/>
      <c r="H38" s="166"/>
      <c r="I38" s="166"/>
      <c r="J38" s="166"/>
      <c r="K38" s="166"/>
      <c r="L38" s="166"/>
    </row>
    <row r="39" spans="1:12" ht="15" customHeight="1" x14ac:dyDescent="0.25">
      <c r="A39" s="163" t="s">
        <v>66</v>
      </c>
      <c r="B39" s="163"/>
      <c r="C39" s="163"/>
      <c r="D39" s="163"/>
      <c r="E39" s="163"/>
      <c r="F39" s="163"/>
      <c r="G39" s="163"/>
      <c r="H39" s="163"/>
      <c r="I39" s="163"/>
      <c r="J39" s="163"/>
      <c r="K39" s="163"/>
      <c r="L39" s="163"/>
    </row>
    <row r="40" spans="1:12" ht="15" x14ac:dyDescent="0.25">
      <c r="A40" s="163" t="s">
        <v>97</v>
      </c>
      <c r="B40" s="163"/>
      <c r="C40" s="163"/>
      <c r="D40" s="163"/>
      <c r="E40" s="163"/>
      <c r="F40" s="163"/>
      <c r="G40" s="163"/>
      <c r="H40" s="163"/>
      <c r="I40" s="163"/>
      <c r="J40" s="163"/>
      <c r="K40" s="163"/>
      <c r="L40" s="163"/>
    </row>
    <row r="41" spans="1:12" s="7" customFormat="1" ht="30" customHeight="1" x14ac:dyDescent="0.25">
      <c r="A41" s="159" t="s">
        <v>3</v>
      </c>
      <c r="B41" s="160"/>
      <c r="C41" s="160"/>
      <c r="D41" s="160"/>
      <c r="E41" s="160"/>
      <c r="F41" s="160"/>
      <c r="G41" s="160"/>
      <c r="H41" s="160"/>
      <c r="I41" s="160"/>
      <c r="J41" s="160"/>
      <c r="K41" s="160"/>
      <c r="L41" s="160"/>
    </row>
    <row r="42" spans="1:12" s="7" customFormat="1" ht="12.75" customHeight="1" x14ac:dyDescent="0.25">
      <c r="A42" s="14"/>
      <c r="B42" s="15"/>
      <c r="C42" s="15"/>
      <c r="D42" s="15"/>
      <c r="E42" s="15"/>
      <c r="F42" s="15"/>
      <c r="G42" s="15"/>
      <c r="H42" s="15"/>
      <c r="I42" s="15"/>
      <c r="J42" s="15"/>
      <c r="K42" s="15"/>
      <c r="L42" s="15"/>
    </row>
    <row r="43" spans="1:12" s="25" customFormat="1" ht="17.100000000000001" customHeight="1" x14ac:dyDescent="0.25">
      <c r="A43" s="164" t="s">
        <v>34</v>
      </c>
      <c r="B43" s="164"/>
      <c r="C43" s="164"/>
      <c r="D43" s="164"/>
      <c r="E43" s="164"/>
      <c r="F43" s="164"/>
      <c r="G43" s="164"/>
      <c r="H43" s="164"/>
      <c r="I43" s="164"/>
      <c r="J43" s="164"/>
      <c r="K43" s="24"/>
      <c r="L43" s="24"/>
    </row>
    <row r="44" spans="1:12" s="25" customFormat="1" ht="17.100000000000001" customHeight="1" x14ac:dyDescent="0.25">
      <c r="A44" s="164" t="s">
        <v>45</v>
      </c>
      <c r="B44" s="164"/>
      <c r="C44" s="164"/>
      <c r="D44" s="164"/>
      <c r="E44" s="164"/>
      <c r="F44" s="164"/>
      <c r="G44" s="164"/>
      <c r="H44" s="164"/>
      <c r="I44" s="164"/>
      <c r="J44" s="164"/>
      <c r="K44" s="164"/>
      <c r="L44" s="164"/>
    </row>
    <row r="45" spans="1:12" s="25" customFormat="1" ht="17.100000000000001" customHeight="1" x14ac:dyDescent="0.25">
      <c r="A45" s="164" t="s">
        <v>46</v>
      </c>
      <c r="B45" s="164"/>
      <c r="C45" s="164"/>
      <c r="D45" s="164"/>
      <c r="E45" s="164"/>
      <c r="F45" s="164"/>
      <c r="G45" s="164"/>
      <c r="H45" s="164"/>
      <c r="I45" s="164"/>
      <c r="J45" s="164"/>
      <c r="K45" s="164"/>
      <c r="L45" s="164"/>
    </row>
    <row r="46" spans="1:12" s="25" customFormat="1" ht="17.100000000000001" customHeight="1" x14ac:dyDescent="0.25">
      <c r="A46" s="164" t="s">
        <v>38</v>
      </c>
      <c r="B46" s="164"/>
      <c r="C46" s="164"/>
      <c r="D46" s="164"/>
      <c r="E46" s="164"/>
      <c r="F46" s="164"/>
      <c r="G46" s="164"/>
      <c r="H46" s="164"/>
      <c r="I46" s="164"/>
      <c r="J46" s="164"/>
      <c r="K46" s="164"/>
      <c r="L46" s="164"/>
    </row>
    <row r="47" spans="1:12" s="26" customFormat="1" ht="17.100000000000001" customHeight="1" x14ac:dyDescent="0.25">
      <c r="A47" s="164" t="s">
        <v>47</v>
      </c>
      <c r="B47" s="164"/>
      <c r="C47" s="164"/>
      <c r="D47" s="164"/>
      <c r="E47" s="164"/>
      <c r="F47" s="164"/>
      <c r="G47" s="164"/>
      <c r="H47" s="164"/>
      <c r="I47" s="164"/>
      <c r="J47" s="164"/>
      <c r="K47" s="164"/>
      <c r="L47" s="164"/>
    </row>
    <row r="48" spans="1:12" s="25" customFormat="1" ht="17.100000000000001" customHeight="1" x14ac:dyDescent="0.25">
      <c r="A48" s="168" t="s">
        <v>90</v>
      </c>
      <c r="B48" s="168"/>
      <c r="C48" s="168"/>
      <c r="D48" s="168"/>
      <c r="E48" s="168"/>
      <c r="F48" s="168"/>
      <c r="G48" s="168"/>
      <c r="H48" s="168"/>
      <c r="I48" s="168"/>
      <c r="J48" s="168"/>
      <c r="K48" s="168"/>
      <c r="L48" s="168"/>
    </row>
    <row r="49" spans="1:12" s="25" customFormat="1" ht="17.100000000000001" customHeight="1" x14ac:dyDescent="0.25">
      <c r="A49" s="164" t="s">
        <v>91</v>
      </c>
      <c r="B49" s="164"/>
      <c r="C49" s="164"/>
      <c r="D49" s="164"/>
      <c r="E49" s="164"/>
      <c r="F49" s="164"/>
      <c r="G49" s="164"/>
      <c r="H49" s="164"/>
      <c r="I49" s="164"/>
      <c r="J49" s="164"/>
      <c r="K49" s="164"/>
      <c r="L49" s="164"/>
    </row>
    <row r="50" spans="1:12" ht="12.75" customHeight="1" x14ac:dyDescent="0.25">
      <c r="A50" s="19"/>
      <c r="B50" s="9"/>
      <c r="C50" s="9"/>
      <c r="D50" s="9"/>
      <c r="E50" s="9"/>
      <c r="F50" s="9"/>
      <c r="G50" s="9"/>
      <c r="H50" s="9"/>
      <c r="I50" s="9"/>
      <c r="J50" s="9"/>
      <c r="K50" s="9"/>
      <c r="L50" s="9"/>
    </row>
    <row r="51" spans="1:12" ht="30" customHeight="1" x14ac:dyDescent="0.25">
      <c r="A51" s="158" t="s">
        <v>37</v>
      </c>
      <c r="B51" s="158"/>
      <c r="C51" s="158"/>
      <c r="D51" s="158"/>
      <c r="E51" s="158"/>
      <c r="F51" s="158"/>
      <c r="G51" s="158"/>
      <c r="H51" s="158"/>
      <c r="I51" s="158"/>
      <c r="J51" s="158"/>
      <c r="K51" s="158"/>
      <c r="L51" s="158"/>
    </row>
    <row r="52" spans="1:12" x14ac:dyDescent="0.25">
      <c r="A52" s="8"/>
      <c r="B52" s="8"/>
      <c r="C52" s="8"/>
      <c r="D52" s="8"/>
      <c r="E52" s="8"/>
      <c r="F52" s="8"/>
      <c r="G52" s="8"/>
      <c r="H52" s="8"/>
      <c r="I52" s="8"/>
      <c r="J52" s="8"/>
      <c r="K52" s="8"/>
      <c r="L52" s="8"/>
    </row>
    <row r="53" spans="1:12" ht="17.25" customHeight="1" x14ac:dyDescent="0.25">
      <c r="A53" s="157" t="s">
        <v>94</v>
      </c>
      <c r="B53" s="157"/>
      <c r="C53" s="157"/>
      <c r="D53" s="157"/>
      <c r="E53" s="157"/>
      <c r="F53" s="157"/>
      <c r="G53" s="157"/>
      <c r="H53" s="157"/>
      <c r="I53" s="157"/>
      <c r="J53" s="157"/>
      <c r="K53" s="157"/>
      <c r="L53" s="157"/>
    </row>
    <row r="54" spans="1:12" ht="17.25" customHeight="1" x14ac:dyDescent="0.25">
      <c r="A54" s="167" t="s">
        <v>92</v>
      </c>
      <c r="B54" s="167"/>
      <c r="C54" s="167"/>
      <c r="D54" s="33"/>
      <c r="E54" s="33"/>
      <c r="F54" s="33"/>
      <c r="G54" s="33"/>
      <c r="H54" s="33"/>
      <c r="I54" s="33"/>
      <c r="J54" s="33"/>
      <c r="K54" s="164"/>
      <c r="L54" s="164"/>
    </row>
  </sheetData>
  <sheetProtection algorithmName="SHA-512" hashValue="d7UFQzuNpWKqaKOQHHbzmiTtYOslGEWAOFTLddjGQAxUIAXdrARtmcW5VyKqZO73sUFcxLLgVZHKZUGfVWyS4w==" saltValue="xO6KVnWcC7IecDcJDGiccQ==" spinCount="100000" sheet="1" objects="1" scenarios="1"/>
  <mergeCells count="37">
    <mergeCell ref="A38:L38"/>
    <mergeCell ref="K54:L54"/>
    <mergeCell ref="A54:C54"/>
    <mergeCell ref="A49:J49"/>
    <mergeCell ref="K49:L49"/>
    <mergeCell ref="A46:J46"/>
    <mergeCell ref="K46:L46"/>
    <mergeCell ref="A47:J47"/>
    <mergeCell ref="K47:L47"/>
    <mergeCell ref="A43:J43"/>
    <mergeCell ref="A44:J44"/>
    <mergeCell ref="K44:L44"/>
    <mergeCell ref="A45:J45"/>
    <mergeCell ref="A48:L48"/>
    <mergeCell ref="A40:L40"/>
    <mergeCell ref="A14:L14"/>
    <mergeCell ref="A21:L21"/>
    <mergeCell ref="A27:L27"/>
    <mergeCell ref="A12:L12"/>
    <mergeCell ref="A25:L25"/>
    <mergeCell ref="A24:L24"/>
    <mergeCell ref="I2:J2"/>
    <mergeCell ref="I3:K4"/>
    <mergeCell ref="A23:L23"/>
    <mergeCell ref="A53:L53"/>
    <mergeCell ref="A31:L31"/>
    <mergeCell ref="A33:L33"/>
    <mergeCell ref="A41:L41"/>
    <mergeCell ref="A35:L35"/>
    <mergeCell ref="A37:L37"/>
    <mergeCell ref="A51:L51"/>
    <mergeCell ref="A39:L39"/>
    <mergeCell ref="K45:L45"/>
    <mergeCell ref="A29:L29"/>
    <mergeCell ref="A7:L7"/>
    <mergeCell ref="A9:L10"/>
    <mergeCell ref="A16:L16"/>
  </mergeCells>
  <phoneticPr fontId="12" type="noConversion"/>
  <hyperlinks>
    <hyperlink ref="I3" r:id="rId1" display="Critères de qualité de l'eau de surface" xr:uid="{00000000-0004-0000-0000-000000000000}"/>
    <hyperlink ref="I2" r:id="rId2" xr:uid="{00000000-0004-0000-0000-000001000000}"/>
    <hyperlink ref="A43" r:id="rId3" xr:uid="{00000000-0004-0000-0000-000002000000}"/>
    <hyperlink ref="A49" r:id="rId4" display="Centre d'expertise environnementale du Québec (CEAEQ), Méthodes d'analyse en usage au CEAEQ" xr:uid="{00000000-0004-0000-0000-000003000000}"/>
    <hyperlink ref="A44" r:id="rId5" xr:uid="{00000000-0004-0000-0000-000004000000}"/>
    <hyperlink ref="A45" r:id="rId6" xr:uid="{00000000-0004-0000-0000-000005000000}"/>
    <hyperlink ref="A47:IV47" r:id="rId7" display="Calcul et interprétation des objectifs environnementaux de rejet (OER) pour les contaminants du milieu aquatique" xr:uid="{00000000-0004-0000-0000-000006000000}"/>
    <hyperlink ref="A54" r:id="rId8" display="criteres.eau@mddelcc.gouv.qc.ca" xr:uid="{00000000-0004-0000-0000-000007000000}"/>
    <hyperlink ref="A43:J43" r:id="rId9" display="Critères de qualité de l'eau de surface" xr:uid="{00000000-0004-0000-0000-000008000000}"/>
    <hyperlink ref="A44:J44" r:id="rId10" display="Fondements des critères de qualité pour chaque usage de l'eau" xr:uid="{00000000-0004-0000-0000-000009000000}"/>
    <hyperlink ref="A45:J45" r:id="rId11" display="Règles générales d'utilisation des critères de qualité de l'eau" xr:uid="{00000000-0004-0000-0000-00000A000000}"/>
    <hyperlink ref="A47:J47" r:id="rId12" display="Calcul et interprétation des objectifs environnementaux de rejet (OER) pour les contaminants du milieu aquatique" xr:uid="{00000000-0004-0000-0000-00000B000000}"/>
    <hyperlink ref="A54:C54" r:id="rId13" display="criteres.eau@environnement.gouv.qc.ca" xr:uid="{00000000-0004-0000-0000-00000C000000}"/>
    <hyperlink ref="A48:J48" r:id="rId14" display="Centre d'expertise en analyse environnementale du Québec (CEAEQ), Terminologie commune recommandée pour l'analyse des métaux " xr:uid="{00000000-0004-0000-0000-00000D000000}"/>
    <hyperlink ref="A46:J46" r:id="rId15" display="Critères de qualité propres à un site" xr:uid="{00000000-0004-0000-0000-00000E000000}"/>
    <hyperlink ref="I2:J2" r:id="rId16" display="CQES" xr:uid="{00000000-0004-0000-0000-00000F000000}"/>
  </hyperlinks>
  <printOptions horizontalCentered="1"/>
  <pageMargins left="0.78740157480314965" right="0.78740157480314965" top="0.98425196850393704" bottom="0.98425196850393704" header="0.51181102362204722" footer="0.51181102362204722"/>
  <pageSetup scale="58" fitToHeight="2" orientation="portrait" r:id="rId17"/>
  <headerFooter alignWithMargins="0"/>
  <rowBreaks count="1" manualBreakCount="1">
    <brk id="34" max="11" man="1"/>
  </rowBreaks>
  <drawing r:id="rId1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O42"/>
  <sheetViews>
    <sheetView showGridLines="0" showRowColHeaders="0" zoomScale="85" zoomScaleNormal="85" workbookViewId="0">
      <pane ySplit="12" topLeftCell="A13" activePane="bottomLeft" state="frozen"/>
      <selection pane="bottomLeft" activeCell="B13" sqref="B13"/>
    </sheetView>
  </sheetViews>
  <sheetFormatPr baseColWidth="10" defaultColWidth="11.44140625" defaultRowHeight="13.2" x14ac:dyDescent="0.25"/>
  <cols>
    <col min="1" max="1" width="15.6640625" customWidth="1"/>
    <col min="2" max="3" width="21.6640625" customWidth="1"/>
    <col min="4" max="4" width="21.6640625" hidden="1" customWidth="1"/>
    <col min="5" max="6" width="21.6640625" customWidth="1"/>
    <col min="7" max="7" width="21.6640625" hidden="1" customWidth="1"/>
    <col min="8" max="14" width="21.6640625" customWidth="1"/>
    <col min="15" max="15" width="7.33203125" customWidth="1"/>
  </cols>
  <sheetData>
    <row r="1" spans="1:15" ht="38.25" customHeight="1" x14ac:dyDescent="0.25">
      <c r="A1" s="176" t="s">
        <v>44</v>
      </c>
      <c r="B1" s="176"/>
      <c r="C1" s="176"/>
      <c r="D1" s="176"/>
      <c r="E1" s="176"/>
      <c r="F1" s="176"/>
      <c r="G1" s="176"/>
      <c r="H1" s="176"/>
      <c r="I1" s="177"/>
      <c r="J1" s="177"/>
      <c r="K1" s="177"/>
      <c r="L1" s="177"/>
      <c r="M1" s="177"/>
      <c r="N1" s="177"/>
    </row>
    <row r="2" spans="1:15" ht="28.5" customHeight="1" x14ac:dyDescent="0.25">
      <c r="A2" s="44"/>
      <c r="B2" s="44"/>
      <c r="C2" s="44"/>
      <c r="D2" s="44"/>
      <c r="E2" s="44"/>
      <c r="F2" s="44"/>
      <c r="G2" s="44"/>
      <c r="H2" s="44"/>
    </row>
    <row r="3" spans="1:15" ht="26.25" customHeight="1" x14ac:dyDescent="0.25">
      <c r="A3" s="174" t="s">
        <v>42</v>
      </c>
      <c r="B3" s="175"/>
      <c r="C3" s="175"/>
      <c r="D3" s="175"/>
      <c r="E3" s="175"/>
      <c r="F3" s="175"/>
      <c r="G3" s="175"/>
      <c r="H3" s="175"/>
      <c r="I3" s="175"/>
      <c r="J3" s="175"/>
      <c r="K3" s="175"/>
      <c r="L3" s="175"/>
      <c r="M3" s="175"/>
      <c r="N3" s="175"/>
    </row>
    <row r="4" spans="1:15" ht="38.25" customHeight="1" x14ac:dyDescent="0.25">
      <c r="A4" s="114" t="s">
        <v>83</v>
      </c>
      <c r="D4" s="13"/>
      <c r="E4" s="13"/>
      <c r="F4" s="13"/>
      <c r="G4" s="13"/>
      <c r="I4" s="20" t="s">
        <v>93</v>
      </c>
      <c r="K4" s="13"/>
      <c r="L4" s="13"/>
      <c r="M4" s="13"/>
      <c r="N4" s="13"/>
    </row>
    <row r="5" spans="1:15" ht="26.25" customHeight="1" thickBot="1" x14ac:dyDescent="0.3">
      <c r="A5" s="11"/>
      <c r="D5" s="13"/>
      <c r="E5" s="13"/>
      <c r="F5" s="13"/>
      <c r="G5" s="13"/>
      <c r="H5" s="20"/>
      <c r="I5" s="20"/>
      <c r="K5" s="13"/>
      <c r="L5" s="13"/>
      <c r="M5" s="13"/>
      <c r="N5" s="13"/>
    </row>
    <row r="6" spans="1:15" s="40" customFormat="1" ht="46.5" customHeight="1" thickTop="1" x14ac:dyDescent="0.25">
      <c r="A6" s="56"/>
      <c r="B6" s="180" t="s">
        <v>1</v>
      </c>
      <c r="C6" s="181"/>
      <c r="D6" s="181"/>
      <c r="E6" s="181"/>
      <c r="F6" s="181"/>
      <c r="G6" s="181"/>
      <c r="H6" s="181"/>
      <c r="I6" s="181"/>
      <c r="J6" s="171" t="s">
        <v>77</v>
      </c>
      <c r="K6" s="172"/>
      <c r="L6" s="172"/>
      <c r="M6" s="172"/>
      <c r="N6" s="173"/>
      <c r="O6" s="57"/>
    </row>
    <row r="7" spans="1:15" ht="48" customHeight="1" thickBot="1" x14ac:dyDescent="0.3">
      <c r="A7" s="110"/>
      <c r="B7" s="109"/>
      <c r="C7" s="158" t="s">
        <v>85</v>
      </c>
      <c r="D7" s="158"/>
      <c r="E7" s="158"/>
      <c r="F7" s="158"/>
      <c r="G7" s="158"/>
      <c r="H7" s="158"/>
      <c r="I7" s="38"/>
      <c r="J7" s="104"/>
      <c r="K7" s="45"/>
      <c r="L7" s="45"/>
      <c r="M7" s="45"/>
      <c r="N7" s="105"/>
      <c r="O7" s="1"/>
    </row>
    <row r="8" spans="1:15" ht="19.2" thickBot="1" x14ac:dyDescent="0.45">
      <c r="A8" s="111"/>
      <c r="B8" s="143">
        <v>20</v>
      </c>
      <c r="C8" s="92" t="s">
        <v>88</v>
      </c>
      <c r="D8" s="92"/>
      <c r="E8" s="92"/>
      <c r="F8" s="92"/>
      <c r="G8" s="72"/>
      <c r="H8" s="72"/>
      <c r="I8" s="72"/>
      <c r="J8" s="106"/>
      <c r="K8" s="46"/>
      <c r="L8" s="46"/>
      <c r="M8" s="46"/>
      <c r="N8" s="107"/>
    </row>
    <row r="9" spans="1:15" ht="1.5" customHeight="1" thickBot="1" x14ac:dyDescent="0.3">
      <c r="A9" s="108">
        <f>IF(A12="mg/L",1000,1)</f>
        <v>1000</v>
      </c>
      <c r="B9" s="178">
        <v>10</v>
      </c>
      <c r="C9" s="178"/>
      <c r="D9" s="178"/>
      <c r="E9" s="178"/>
      <c r="F9" s="178"/>
      <c r="G9" s="178"/>
      <c r="H9" s="178"/>
      <c r="I9" s="178"/>
      <c r="J9" s="178"/>
      <c r="K9" s="178"/>
      <c r="L9" s="178"/>
      <c r="M9" s="178"/>
      <c r="N9" s="179"/>
      <c r="O9" s="2"/>
    </row>
    <row r="10" spans="1:15" ht="15.6" x14ac:dyDescent="0.25">
      <c r="A10" s="108"/>
      <c r="B10" s="34" t="s">
        <v>51</v>
      </c>
      <c r="C10" s="35" t="s">
        <v>52</v>
      </c>
      <c r="D10" s="36"/>
      <c r="E10" s="35" t="s">
        <v>53</v>
      </c>
      <c r="F10" s="35" t="s">
        <v>54</v>
      </c>
      <c r="G10" s="35"/>
      <c r="H10" s="35" t="s">
        <v>55</v>
      </c>
      <c r="I10" s="37" t="s">
        <v>56</v>
      </c>
      <c r="J10" s="95" t="s">
        <v>52</v>
      </c>
      <c r="K10" s="35" t="s">
        <v>53</v>
      </c>
      <c r="L10" s="35" t="s">
        <v>54</v>
      </c>
      <c r="M10" s="35" t="s">
        <v>55</v>
      </c>
      <c r="N10" s="96" t="s">
        <v>56</v>
      </c>
    </row>
    <row r="11" spans="1:15" s="40" customFormat="1" ht="81.75" customHeight="1" x14ac:dyDescent="0.25">
      <c r="A11" s="68"/>
      <c r="B11" s="47" t="s">
        <v>65</v>
      </c>
      <c r="C11" s="48" t="s">
        <v>57</v>
      </c>
      <c r="D11" s="48" t="s">
        <v>31</v>
      </c>
      <c r="E11" s="48" t="s">
        <v>58</v>
      </c>
      <c r="F11" s="48" t="s">
        <v>59</v>
      </c>
      <c r="G11" s="49" t="s">
        <v>32</v>
      </c>
      <c r="H11" s="49" t="s">
        <v>60</v>
      </c>
      <c r="I11" s="50" t="s">
        <v>61</v>
      </c>
      <c r="J11" s="97" t="s">
        <v>57</v>
      </c>
      <c r="K11" s="51" t="s">
        <v>58</v>
      </c>
      <c r="L11" s="52" t="s">
        <v>59</v>
      </c>
      <c r="M11" s="53" t="s">
        <v>60</v>
      </c>
      <c r="N11" s="98" t="s">
        <v>61</v>
      </c>
      <c r="O11" s="11"/>
    </row>
    <row r="12" spans="1:15" s="40" customFormat="1" ht="18" thickBot="1" x14ac:dyDescent="0.3">
      <c r="A12" s="152" t="s">
        <v>22</v>
      </c>
      <c r="B12" s="69" t="str">
        <f>$A$12</f>
        <v>mg/L</v>
      </c>
      <c r="C12" s="70" t="str">
        <f>$A$12</f>
        <v>mg/L</v>
      </c>
      <c r="D12" s="54" t="s">
        <v>22</v>
      </c>
      <c r="E12" s="54" t="str">
        <f>$A$12</f>
        <v>mg/L</v>
      </c>
      <c r="F12" s="54" t="str">
        <f>$A$12</f>
        <v>mg/L</v>
      </c>
      <c r="G12" s="54" t="s">
        <v>22</v>
      </c>
      <c r="H12" s="54" t="str">
        <f t="shared" ref="H12:N12" si="0">$A$12</f>
        <v>mg/L</v>
      </c>
      <c r="I12" s="71" t="str">
        <f t="shared" si="0"/>
        <v>mg/L</v>
      </c>
      <c r="J12" s="99" t="str">
        <f t="shared" si="0"/>
        <v>mg/L</v>
      </c>
      <c r="K12" s="55" t="str">
        <f t="shared" si="0"/>
        <v>mg/L</v>
      </c>
      <c r="L12" s="55" t="str">
        <f t="shared" si="0"/>
        <v>mg/L</v>
      </c>
      <c r="M12" s="55" t="str">
        <f t="shared" si="0"/>
        <v>mg/L</v>
      </c>
      <c r="N12" s="100" t="str">
        <f t="shared" si="0"/>
        <v>mg/L</v>
      </c>
      <c r="O12" s="11"/>
    </row>
    <row r="13" spans="1:15" ht="20.25" customHeight="1" x14ac:dyDescent="0.25">
      <c r="A13" s="58" t="s">
        <v>18</v>
      </c>
      <c r="B13" s="59">
        <f>IF($A$12="µg/l",6,0.006)</f>
        <v>6.0000000000000001E-3</v>
      </c>
      <c r="C13" s="60">
        <f>IF($A$12="µg/l",640,0.64)</f>
        <v>0.64</v>
      </c>
      <c r="D13" s="60">
        <f>IF($A$12="µg/l",30,0.3)</f>
        <v>0.3</v>
      </c>
      <c r="E13" s="60">
        <f>IF($A$12="µg/l",240,0.24)</f>
        <v>0.24</v>
      </c>
      <c r="F13" s="150" t="s">
        <v>21</v>
      </c>
      <c r="G13" s="60">
        <f>IF($A$12="µg/l",176,0.176)</f>
        <v>0.17599999999999999</v>
      </c>
      <c r="H13" s="60">
        <f>IF($A$12="µg/l",2300,2.3)</f>
        <v>2.2999999999999998</v>
      </c>
      <c r="I13" s="74">
        <f>IF($A$12="µg/l",1100,1.1)</f>
        <v>1.1000000000000001</v>
      </c>
      <c r="J13" s="102">
        <f>IF($A$12="µg/l",640,0.64)</f>
        <v>0.64</v>
      </c>
      <c r="K13" s="41" t="s">
        <v>21</v>
      </c>
      <c r="L13" s="41" t="s">
        <v>21</v>
      </c>
      <c r="M13" s="41" t="s">
        <v>21</v>
      </c>
      <c r="N13" s="101" t="s">
        <v>21</v>
      </c>
      <c r="O13" s="2"/>
    </row>
    <row r="14" spans="1:15" ht="20.25" customHeight="1" x14ac:dyDescent="0.25">
      <c r="A14" s="58" t="s">
        <v>4</v>
      </c>
      <c r="B14" s="73" t="s">
        <v>21</v>
      </c>
      <c r="C14" s="60" t="s">
        <v>21</v>
      </c>
      <c r="D14" s="60" t="s">
        <v>21</v>
      </c>
      <c r="E14" s="60" t="s">
        <v>21</v>
      </c>
      <c r="F14" s="150" t="s">
        <v>21</v>
      </c>
      <c r="G14" s="60">
        <f>IF($A$12="µg/l",176,0.176)</f>
        <v>0.17599999999999999</v>
      </c>
      <c r="H14" s="60" t="s">
        <v>21</v>
      </c>
      <c r="I14" s="74" t="s">
        <v>21</v>
      </c>
      <c r="J14" s="102" t="s">
        <v>21</v>
      </c>
      <c r="K14" s="41">
        <f>IF($A$12="µg/l",500,0.5)</f>
        <v>0.5</v>
      </c>
      <c r="L14" s="41" t="s">
        <v>21</v>
      </c>
      <c r="M14" s="41">
        <f>IF($A$12="µg/l",3000,3)</f>
        <v>3</v>
      </c>
      <c r="N14" s="101">
        <f>IF($A$12="µg/l",1500,1.5)</f>
        <v>1.5</v>
      </c>
      <c r="O14" s="2"/>
    </row>
    <row r="15" spans="1:15" ht="20.25" customHeight="1" x14ac:dyDescent="0.25">
      <c r="A15" s="58" t="s">
        <v>5</v>
      </c>
      <c r="B15" s="59">
        <f>IF($A$12="µg/l",100,0.1)</f>
        <v>0.1</v>
      </c>
      <c r="C15" s="60" t="s">
        <v>21</v>
      </c>
      <c r="D15" s="60">
        <f>IF($A$12="µg/l",0.1,0.0001)</f>
        <v>1E-4</v>
      </c>
      <c r="E15" s="60">
        <f>IF($A$12="µg/l",0.1,0.0001)</f>
        <v>1E-4</v>
      </c>
      <c r="F15" s="150" t="s">
        <v>21</v>
      </c>
      <c r="G15" s="62">
        <f>(EXP((1.72*LN(B8))-6.52))/A9</f>
        <v>2.547836591290838E-4</v>
      </c>
      <c r="H15" s="65">
        <f>IF(AND(B8&gt;=10,B8&lt;=400),(EXP((1.72*LN(B8))-6.52))/A9,"Dureté hors limite")</f>
        <v>2.547836591290838E-4</v>
      </c>
      <c r="I15" s="66">
        <f>IF(AND(B8&gt;=10,B8&lt;=400),(EXP((1.72*LN(B8))-6.52))/A9/2,"Dureté hors limite")</f>
        <v>1.273918295645419E-4</v>
      </c>
      <c r="J15" s="142" t="s">
        <v>21</v>
      </c>
      <c r="K15" s="41" t="s">
        <v>21</v>
      </c>
      <c r="L15" s="41" t="s">
        <v>21</v>
      </c>
      <c r="M15" s="41">
        <f>IF($A$12="µg/l",2.3,0.0023)</f>
        <v>2.3E-3</v>
      </c>
      <c r="N15" s="101">
        <f>IF($A$12="µg/l",1.15,0.00115)</f>
        <v>1.15E-3</v>
      </c>
      <c r="O15" s="2"/>
    </row>
    <row r="16" spans="1:15" s="4" customFormat="1" ht="20.25" customHeight="1" x14ac:dyDescent="0.25">
      <c r="A16" s="89" t="s">
        <v>6</v>
      </c>
      <c r="B16" s="59" t="str">
        <f>IF($A$12="µg/l","0,3 et 10","0,0003 et 0,01")</f>
        <v>0,0003 et 0,01</v>
      </c>
      <c r="C16" s="60">
        <f>IF($A$12="µg/l",21,0.021)</f>
        <v>2.1000000000000001E-2</v>
      </c>
      <c r="D16" s="60">
        <f>IF($A$12="µg/l",150,0.15)</f>
        <v>0.15</v>
      </c>
      <c r="E16" s="60">
        <f>IF($A$12="µg/l",150,0.15)</f>
        <v>0.15</v>
      </c>
      <c r="F16" s="150" t="s">
        <v>21</v>
      </c>
      <c r="G16" s="60">
        <f>IF($A$12="µg/l",680,0.68)</f>
        <v>0.68</v>
      </c>
      <c r="H16" s="60">
        <f>IF($A$12="µg/l",680,0.68)</f>
        <v>0.68</v>
      </c>
      <c r="I16" s="74">
        <f>IF($A$12="µg/l",340,0.34)</f>
        <v>0.34</v>
      </c>
      <c r="J16" s="102">
        <f>IF($A$12="µg/l",21,0.021)</f>
        <v>2.1000000000000001E-2</v>
      </c>
      <c r="K16" s="41">
        <f>IF($A$12="µg/l",36,0.036)</f>
        <v>3.5999999999999997E-2</v>
      </c>
      <c r="L16" s="41" t="s">
        <v>21</v>
      </c>
      <c r="M16" s="41">
        <f>IF($A$12="µg/l",140,0.14)</f>
        <v>0.14000000000000001</v>
      </c>
      <c r="N16" s="101">
        <f>IF($A$12="µg/l",69,0.069)</f>
        <v>6.9000000000000006E-2</v>
      </c>
      <c r="O16" s="3"/>
    </row>
    <row r="17" spans="1:15" ht="20.25" customHeight="1" x14ac:dyDescent="0.25">
      <c r="A17" s="144" t="s">
        <v>7</v>
      </c>
      <c r="B17" s="145">
        <f>IF($A$12="µg/l",1000,1)</f>
        <v>1</v>
      </c>
      <c r="C17" s="146" t="s">
        <v>21</v>
      </c>
      <c r="D17" s="78">
        <f>(EXP((1.95*LN(B8))-3.66))/A9</f>
        <v>8.8611622319083941E-3</v>
      </c>
      <c r="E17" s="78">
        <f>IF(AND(B8&gt;=10,B8&lt;=400),(EXP((1.0629*LN(B8))+1.1869))/A9,"Dureté hors limite")</f>
        <v>7.9127765712071418E-2</v>
      </c>
      <c r="F17" s="150" t="s">
        <v>21</v>
      </c>
      <c r="G17" s="64" t="s">
        <v>21</v>
      </c>
      <c r="H17" s="79">
        <f>IF(AND(B8&gt;=10,B8&lt;=400),(EXP((1.0629*LN(B8))+2.9285))/A9,"Dureté hors limite")</f>
        <v>0.45153994177424167</v>
      </c>
      <c r="I17" s="80">
        <f>IF(AND(B8&gt;=10,B8&lt;=400),(EXP((1.0629*LN(B8))+2.2354))/A9,"Dureté hors limite")</f>
        <v>0.22578062309205243</v>
      </c>
      <c r="J17" s="142" t="s">
        <v>21</v>
      </c>
      <c r="K17" s="41" t="s">
        <v>21</v>
      </c>
      <c r="L17" s="41" t="s">
        <v>21</v>
      </c>
      <c r="M17" s="41" t="s">
        <v>21</v>
      </c>
      <c r="N17" s="101" t="s">
        <v>21</v>
      </c>
      <c r="O17" s="2"/>
    </row>
    <row r="18" spans="1:15" ht="20.25" customHeight="1" x14ac:dyDescent="0.25">
      <c r="A18" s="144" t="s">
        <v>23</v>
      </c>
      <c r="B18" s="145">
        <f>IF($A$12="µg/l",4,0.004)</f>
        <v>4.0000000000000001E-3</v>
      </c>
      <c r="C18" s="146" t="s">
        <v>21</v>
      </c>
      <c r="D18" s="88">
        <f>(EXP((2.2175*LN(B8))-10.3779))/A9</f>
        <v>2.3876425600219248E-5</v>
      </c>
      <c r="E18" s="88">
        <f>IF(AND(B8&gt;=10,B8&lt;=400),(EXP((1.6839*LN(B8))-5.8575))/A9,"Dureté hors limite")</f>
        <v>4.4353151297870269E-4</v>
      </c>
      <c r="F18" s="150" t="s">
        <v>21</v>
      </c>
      <c r="G18" s="63">
        <f>IF($A$12="µg/l",15,0.015)</f>
        <v>1.4999999999999999E-2</v>
      </c>
      <c r="H18" s="65">
        <f>IF(AND(B8&gt;=10,B8&lt;=400),(EXP((1.6839*LN(B8))-2.9672))/A9,"Dureté hors limite")</f>
        <v>7.9829943701820571E-3</v>
      </c>
      <c r="I18" s="66">
        <f>IF(AND(B8&gt;=10,B8&lt;=400),(EXP((1.6839*LN(B8))-3.6603))/A9,"Dureté hors limite")</f>
        <v>3.9916855106058588E-3</v>
      </c>
      <c r="J18" s="142" t="s">
        <v>21</v>
      </c>
      <c r="K18" s="41" t="s">
        <v>21</v>
      </c>
      <c r="L18" s="41" t="s">
        <v>21</v>
      </c>
      <c r="M18" s="41" t="s">
        <v>21</v>
      </c>
      <c r="N18" s="101" t="s">
        <v>21</v>
      </c>
      <c r="O18" s="2"/>
    </row>
    <row r="19" spans="1:15" ht="20.25" customHeight="1" x14ac:dyDescent="0.25">
      <c r="A19" s="144" t="s">
        <v>24</v>
      </c>
      <c r="B19" s="145">
        <f>IF($A$12="µg/l",200,0.2)</f>
        <v>0.2</v>
      </c>
      <c r="C19" s="146" t="s">
        <v>21</v>
      </c>
      <c r="D19" s="60">
        <f>IF($A$12="µg/l",1400,1.4)</f>
        <v>1.4</v>
      </c>
      <c r="E19" s="60">
        <f>IF($A$12="µg/l",5000,5)</f>
        <v>5</v>
      </c>
      <c r="F19" s="150" t="s">
        <v>21</v>
      </c>
      <c r="G19" s="61" t="s">
        <v>21</v>
      </c>
      <c r="H19" s="60">
        <f>IF($A$12="µg/l",55000,55)</f>
        <v>55</v>
      </c>
      <c r="I19" s="74">
        <f>IF($A$12="µg/l",28000,28)</f>
        <v>28</v>
      </c>
      <c r="J19" s="142" t="s">
        <v>21</v>
      </c>
      <c r="K19" s="41">
        <f>IF($A$12="µg/l",1000,1)</f>
        <v>1</v>
      </c>
      <c r="L19" s="41" t="s">
        <v>21</v>
      </c>
      <c r="M19" s="41" t="s">
        <v>21</v>
      </c>
      <c r="N19" s="101" t="s">
        <v>21</v>
      </c>
      <c r="O19" s="2"/>
    </row>
    <row r="20" spans="1:15" ht="20.25" customHeight="1" x14ac:dyDescent="0.25">
      <c r="A20" s="144" t="s">
        <v>8</v>
      </c>
      <c r="B20" s="145">
        <f>IF($A$12="µg/l",5,0.005)</f>
        <v>5.0000000000000001E-3</v>
      </c>
      <c r="C20" s="146" t="s">
        <v>21</v>
      </c>
      <c r="D20" s="87">
        <f>(EXP((0.7852*LN(B8))-2.715))/A9</f>
        <v>6.9575964300231047E-4</v>
      </c>
      <c r="E20" s="65">
        <f>IF(AND(B8&gt;=10,B8&lt;=400),(EXP((0.7409*LN(B8))-4.719))/A9,"Dureté hors limite")</f>
        <v>8.212917564119637E-5</v>
      </c>
      <c r="F20" s="150" t="s">
        <v>21</v>
      </c>
      <c r="G20" s="65">
        <f>2*(EXP((1.128*LN(B8))-3.6867))/A9</f>
        <v>1.4705451540382006E-3</v>
      </c>
      <c r="H20" s="81">
        <f>IF(AND(B8&gt;=10,B8&lt;=400),2*(EXP((1.0166*LN(B8))-3.924))/A9,"Dureté hors limite")</f>
        <v>8.3077906147447094E-4</v>
      </c>
      <c r="I20" s="86">
        <f>IF(AND(B8&gt;=10,B8&lt;=400),(EXP((1.0166*LN(B8))-3.924))/A9,"Dureté hors limite")</f>
        <v>4.1538953073723547E-4</v>
      </c>
      <c r="J20" s="142" t="s">
        <v>21</v>
      </c>
      <c r="K20" s="41">
        <f>IF($A$12="µg/l",9.3,0.0093)</f>
        <v>9.2999999999999992E-3</v>
      </c>
      <c r="L20" s="41" t="s">
        <v>21</v>
      </c>
      <c r="M20" s="41">
        <f>IF($A$12="µg/l",86,0.086)</f>
        <v>8.5999999999999993E-2</v>
      </c>
      <c r="N20" s="101">
        <f>IF($A$12="µg/l",43,0.043)</f>
        <v>4.2999999999999997E-2</v>
      </c>
      <c r="O20" s="2"/>
    </row>
    <row r="21" spans="1:15" ht="20.25" customHeight="1" x14ac:dyDescent="0.25">
      <c r="A21" s="144" t="s">
        <v>9</v>
      </c>
      <c r="B21" s="145">
        <f>IF($A$12="µg/l",50,0.05)</f>
        <v>0.05</v>
      </c>
      <c r="C21" s="146" t="s">
        <v>21</v>
      </c>
      <c r="D21" s="78">
        <f>(EXP((0.819*LN(B8))+0.6848))/A9</f>
        <v>2.3064732794236296E-2</v>
      </c>
      <c r="E21" s="78">
        <f>IF(AND(B8&gt;=10,B8&lt;=400),(EXP((0.819*LN(B8))+0.6848))/A9,"Dureté hors limite")</f>
        <v>2.3064732794236296E-2</v>
      </c>
      <c r="F21" s="150" t="s">
        <v>21</v>
      </c>
      <c r="G21" s="65">
        <f>2*(EXP((0.819*LN(B8))+3.7256))/A9</f>
        <v>0.96511948526417712</v>
      </c>
      <c r="H21" s="79">
        <f>IF(AND(B8&gt;=10,B8&lt;=400),2*(EXP((0.819*LN(B8))+3.7256))/A9,"Dureté hors limite")</f>
        <v>0.96511948526417712</v>
      </c>
      <c r="I21" s="80">
        <f>IF(AND(B8&gt;=10,B8&lt;=400),(EXP((0.819*LN(B8))+3.7256))/A9,"Dureté hors limite")</f>
        <v>0.48255974263208856</v>
      </c>
      <c r="J21" s="102" t="s">
        <v>21</v>
      </c>
      <c r="K21" s="41" t="s">
        <v>21</v>
      </c>
      <c r="L21" s="41" t="s">
        <v>21</v>
      </c>
      <c r="M21" s="41" t="s">
        <v>21</v>
      </c>
      <c r="N21" s="101" t="s">
        <v>21</v>
      </c>
      <c r="O21" s="2"/>
    </row>
    <row r="22" spans="1:15" ht="20.25" customHeight="1" x14ac:dyDescent="0.25">
      <c r="A22" s="144" t="s">
        <v>10</v>
      </c>
      <c r="B22" s="145">
        <f>IF($A$12="µg/l",50,0.05)</f>
        <v>0.05</v>
      </c>
      <c r="C22" s="146" t="s">
        <v>21</v>
      </c>
      <c r="D22" s="60">
        <f>IF($A$12="µg/l",11,0.011)</f>
        <v>1.0999999999999999E-2</v>
      </c>
      <c r="E22" s="60">
        <f>IF($A$12="µg/l",11,0.011)</f>
        <v>1.0999999999999999E-2</v>
      </c>
      <c r="F22" s="150" t="s">
        <v>21</v>
      </c>
      <c r="G22" s="60">
        <f>IF($A$12="µg/l",32,0.032)</f>
        <v>3.2000000000000001E-2</v>
      </c>
      <c r="H22" s="60">
        <f>IF($A$12="µg/l",32,0.032)</f>
        <v>3.2000000000000001E-2</v>
      </c>
      <c r="I22" s="74">
        <f>IF($A$12="µg/l",16,0.016)</f>
        <v>1.6E-2</v>
      </c>
      <c r="J22" s="142" t="s">
        <v>21</v>
      </c>
      <c r="K22" s="41">
        <f>IF($A$12="µg/l",50,0.05)</f>
        <v>0.05</v>
      </c>
      <c r="L22" s="41" t="s">
        <v>21</v>
      </c>
      <c r="M22" s="41">
        <f>IF($A$12="µg/l",2200,2.2)</f>
        <v>2.2000000000000002</v>
      </c>
      <c r="N22" s="101">
        <f>IF($A$12="µg/l",1100,1.1)</f>
        <v>1.1000000000000001</v>
      </c>
      <c r="O22" s="2"/>
    </row>
    <row r="23" spans="1:15" ht="20.25" customHeight="1" x14ac:dyDescent="0.25">
      <c r="A23" s="144" t="s">
        <v>19</v>
      </c>
      <c r="B23" s="145" t="s">
        <v>21</v>
      </c>
      <c r="C23" s="146" t="s">
        <v>21</v>
      </c>
      <c r="D23" s="60">
        <f>IF($A$12="µg/l",5,0.005)</f>
        <v>5.0000000000000001E-3</v>
      </c>
      <c r="E23" s="60">
        <f>IF($A$12="µg/l",100,0.1)</f>
        <v>0.1</v>
      </c>
      <c r="F23" s="150" t="s">
        <v>21</v>
      </c>
      <c r="G23" s="61" t="s">
        <v>21</v>
      </c>
      <c r="H23" s="60">
        <f>IF($A$12="µg/l",740,0.74)</f>
        <v>0.74</v>
      </c>
      <c r="I23" s="74">
        <f>IF($A$12="µg/l",370,0.37)</f>
        <v>0.37</v>
      </c>
      <c r="J23" s="102" t="s">
        <v>21</v>
      </c>
      <c r="K23" s="41" t="s">
        <v>21</v>
      </c>
      <c r="L23" s="41" t="s">
        <v>21</v>
      </c>
      <c r="M23" s="41" t="s">
        <v>21</v>
      </c>
      <c r="N23" s="101" t="s">
        <v>21</v>
      </c>
      <c r="O23" s="2"/>
    </row>
    <row r="24" spans="1:15" ht="20.25" customHeight="1" x14ac:dyDescent="0.25">
      <c r="A24" s="144" t="s">
        <v>11</v>
      </c>
      <c r="B24" s="145" t="str">
        <f>IF($A$12="µg/l","1000 et 1300","1,0 et 1,3")</f>
        <v>1,0 et 1,3</v>
      </c>
      <c r="C24" s="146" t="s">
        <v>21</v>
      </c>
      <c r="D24" s="81">
        <f>(EXP((0.8545*LN(B8))-1.702))/A9</f>
        <v>2.3580929674839922E-3</v>
      </c>
      <c r="E24" s="81">
        <f>IF(AND(B8&gt;=10,B8&lt;=400),(EXP((0.8545*LN(B8))-1.702))/A9,"Dureté hors limite")</f>
        <v>2.3580929674839922E-3</v>
      </c>
      <c r="F24" s="150" t="s">
        <v>21</v>
      </c>
      <c r="G24" s="81">
        <f>2*(EXP((0.9422*LN(B8))-1.7))/A9</f>
        <v>6.1455370084944451E-3</v>
      </c>
      <c r="H24" s="81">
        <f>IF(AND(B8&gt;=10,B8&lt;=400),2*(EXP((0.9422*LN(B8))-1.7))/A9,"Dureté hors limite")</f>
        <v>6.1455370084944451E-3</v>
      </c>
      <c r="I24" s="86">
        <f>IF(AND(B8&gt;=10,B8&lt;=400),(EXP((0.9422*LN(B8))-1.7))/A9,"Dureté hors limite")</f>
        <v>3.0727685042472226E-3</v>
      </c>
      <c r="J24" s="142" t="s">
        <v>21</v>
      </c>
      <c r="K24" s="41">
        <f>IF($A$12="µg/l",3.7,0.0037)</f>
        <v>3.7000000000000002E-3</v>
      </c>
      <c r="L24" s="41" t="s">
        <v>21</v>
      </c>
      <c r="M24" s="41">
        <f>IF($A$12="µg/l",12,0.012)</f>
        <v>1.2E-2</v>
      </c>
      <c r="N24" s="101">
        <f>IF($A$12="µg/l",5.8,0.0058)</f>
        <v>5.7999999999999996E-3</v>
      </c>
      <c r="O24" s="2"/>
    </row>
    <row r="25" spans="1:15" ht="20.25" customHeight="1" x14ac:dyDescent="0.25">
      <c r="A25" s="144" t="s">
        <v>25</v>
      </c>
      <c r="B25" s="145">
        <f>IF($A$12="µg/l",300,0.3)</f>
        <v>0.3</v>
      </c>
      <c r="C25" s="146" t="s">
        <v>21</v>
      </c>
      <c r="D25" s="60">
        <f>IF($A$12="µg/l",300,0.3)</f>
        <v>0.3</v>
      </c>
      <c r="E25" s="60">
        <f>IF($A$12="µg/l",1300,1.3)</f>
        <v>1.3</v>
      </c>
      <c r="F25" s="150" t="s">
        <v>21</v>
      </c>
      <c r="G25" s="61" t="s">
        <v>21</v>
      </c>
      <c r="H25" s="60">
        <f>IF($A$12="µg/l",6900,6.9)</f>
        <v>6.9</v>
      </c>
      <c r="I25" s="74">
        <f>IF($A$12="µg/l",3400,3.4)</f>
        <v>3.4</v>
      </c>
      <c r="J25" s="102" t="s">
        <v>21</v>
      </c>
      <c r="K25" s="41" t="s">
        <v>21</v>
      </c>
      <c r="L25" s="41" t="s">
        <v>21</v>
      </c>
      <c r="M25" s="41" t="s">
        <v>21</v>
      </c>
      <c r="N25" s="101" t="s">
        <v>21</v>
      </c>
      <c r="O25" s="2"/>
    </row>
    <row r="26" spans="1:15" ht="20.25" customHeight="1" x14ac:dyDescent="0.25">
      <c r="A26" s="144" t="s">
        <v>26</v>
      </c>
      <c r="B26" s="145">
        <f>IF($A$12="µg/l",720,0.72)</f>
        <v>0.72</v>
      </c>
      <c r="C26" s="146" t="s">
        <v>21</v>
      </c>
      <c r="D26" s="60">
        <f>IF($A$12="µg/l",67,0.67)</f>
        <v>0.67</v>
      </c>
      <c r="E26" s="60">
        <f>IF($A$12="µg/l",440,0.44)</f>
        <v>0.44</v>
      </c>
      <c r="F26" s="150" t="s">
        <v>21</v>
      </c>
      <c r="G26" s="61" t="s">
        <v>21</v>
      </c>
      <c r="H26" s="60">
        <f>IF($A$12="µg/l",1800,1.8)</f>
        <v>1.8</v>
      </c>
      <c r="I26" s="74">
        <f>IF($A$12="µg/l",910,0.91)</f>
        <v>0.91</v>
      </c>
      <c r="J26" s="142" t="s">
        <v>21</v>
      </c>
      <c r="K26" s="41" t="s">
        <v>21</v>
      </c>
      <c r="L26" s="41" t="s">
        <v>21</v>
      </c>
      <c r="M26" s="41" t="s">
        <v>21</v>
      </c>
      <c r="N26" s="101" t="s">
        <v>21</v>
      </c>
      <c r="O26" s="2"/>
    </row>
    <row r="27" spans="1:15" ht="20.25" customHeight="1" x14ac:dyDescent="0.25">
      <c r="A27" s="144" t="s">
        <v>12</v>
      </c>
      <c r="B27" s="145">
        <f>IF($A$12="µg/l",50,0.05)</f>
        <v>0.05</v>
      </c>
      <c r="C27" s="146" t="s">
        <v>21</v>
      </c>
      <c r="D27" s="83">
        <f>EXP(0.8784*(LN(B8))+3.5199)/A9</f>
        <v>0.46935115943994016</v>
      </c>
      <c r="E27" s="83">
        <f>IF(AND(B8&gt;=10,B8&lt;=400),EXP(0.8784*(LN(B8))+3.5199)/A9,"Dureté hors limite")</f>
        <v>0.46935115943994016</v>
      </c>
      <c r="F27" s="150" t="s">
        <v>21</v>
      </c>
      <c r="G27" s="83">
        <f>2*EXP(0.8784*(LN(B8))+4.2889)/A9</f>
        <v>2.025351226426729</v>
      </c>
      <c r="H27" s="84">
        <f>IF(AND(B8&gt;=10,B8&lt;=400),EXP(0.8784*(LN(B8))+4.982)/A9,"Dureté hors limite")</f>
        <v>2.0252556714759669</v>
      </c>
      <c r="I27" s="85">
        <f>IF(AND(B8&gt;=10,B8&lt;=400),EXP(0.8784*(LN(B8))+4.2889)/A9,"Dureté hors limite")</f>
        <v>1.0126756132133645</v>
      </c>
      <c r="J27" s="142" t="s">
        <v>21</v>
      </c>
      <c r="K27" s="41" t="s">
        <v>21</v>
      </c>
      <c r="L27" s="41" t="s">
        <v>21</v>
      </c>
      <c r="M27" s="41" t="s">
        <v>21</v>
      </c>
      <c r="N27" s="101" t="s">
        <v>21</v>
      </c>
      <c r="O27" s="2"/>
    </row>
    <row r="28" spans="1:15" ht="20.25" customHeight="1" x14ac:dyDescent="0.25">
      <c r="A28" s="144" t="s">
        <v>13</v>
      </c>
      <c r="B28" s="145">
        <f>IF($A$12="µg/l",0.0018,0.0000018)</f>
        <v>1.7999999999999999E-6</v>
      </c>
      <c r="C28" s="146">
        <f>IF($A$12="µg/l",0.0018,0.0000018)</f>
        <v>1.7999999999999999E-6</v>
      </c>
      <c r="D28" s="60">
        <f>IF($A$12="µg/l",0.91,0.00091)</f>
        <v>9.1E-4</v>
      </c>
      <c r="E28" s="60">
        <f>IF($A$12="µg/l",0.91,0.00091)</f>
        <v>9.1E-4</v>
      </c>
      <c r="F28" s="146">
        <f>IF($A$12="µg/l",0.0013,0.0000013)</f>
        <v>1.3E-6</v>
      </c>
      <c r="G28" s="60">
        <f>IF($A$12="µg/l",3.2,0.0032)</f>
        <v>3.2000000000000002E-3</v>
      </c>
      <c r="H28" s="60">
        <f>IF($A$12="µg/l",3.2,0.0032)</f>
        <v>3.2000000000000002E-3</v>
      </c>
      <c r="I28" s="74">
        <f>IF($A$12="µg/l",1.6,0.0016)</f>
        <v>1.6000000000000001E-3</v>
      </c>
      <c r="J28" s="102">
        <f>IF($A$12="µg/l",0.0018,0.0000018)</f>
        <v>1.7999999999999999E-6</v>
      </c>
      <c r="K28" s="41">
        <f>IF($A$12="µg/l",1.1,0.0011)</f>
        <v>1.1000000000000001E-3</v>
      </c>
      <c r="L28" s="41">
        <f>IF($A$12="µg/l",0.0013,0.0000013)</f>
        <v>1.3E-6</v>
      </c>
      <c r="M28" s="41">
        <f>IF($A$12="µg/l",4.2,0.0042)</f>
        <v>4.1999999999999997E-3</v>
      </c>
      <c r="N28" s="101">
        <f>IF($A$12="µg/l",2.1,0.0021)</f>
        <v>2.0999999999999999E-3</v>
      </c>
      <c r="O28" s="2"/>
    </row>
    <row r="29" spans="1:15" ht="20.25" customHeight="1" x14ac:dyDescent="0.25">
      <c r="A29" s="144" t="s">
        <v>20</v>
      </c>
      <c r="B29" s="145">
        <f>IF($A$12="µg/l",40,0.04)</f>
        <v>0.04</v>
      </c>
      <c r="C29" s="146" t="s">
        <v>21</v>
      </c>
      <c r="D29" s="60">
        <f>IF($A$12="µg/l",1000,1)</f>
        <v>1</v>
      </c>
      <c r="E29" s="60">
        <f>IF($A$12="µg/l",3200,3.2)</f>
        <v>3.2</v>
      </c>
      <c r="F29" s="150" t="s">
        <v>21</v>
      </c>
      <c r="G29" s="60">
        <f>IF($A$12="µg/l",2000,2)</f>
        <v>2</v>
      </c>
      <c r="H29" s="60">
        <f>IF($A$12="µg/l",58000,58)</f>
        <v>58</v>
      </c>
      <c r="I29" s="74">
        <f>IF($A$12="µg/l",29000,29)</f>
        <v>29</v>
      </c>
      <c r="J29" s="142" t="s">
        <v>21</v>
      </c>
      <c r="K29" s="41" t="s">
        <v>21</v>
      </c>
      <c r="L29" s="41" t="s">
        <v>21</v>
      </c>
      <c r="M29" s="41" t="s">
        <v>21</v>
      </c>
      <c r="N29" s="101" t="s">
        <v>21</v>
      </c>
      <c r="O29" s="2"/>
    </row>
    <row r="30" spans="1:15" ht="20.25" customHeight="1" x14ac:dyDescent="0.25">
      <c r="A30" s="144" t="s">
        <v>14</v>
      </c>
      <c r="B30" s="145">
        <f>IF($A$12="µg/l",70,0.07)</f>
        <v>7.0000000000000007E-2</v>
      </c>
      <c r="C30" s="146">
        <f>IF($A$12="µg/l",4600,4.6)</f>
        <v>4.5999999999999996</v>
      </c>
      <c r="D30" s="78">
        <f>(EXP((0.846*LN(B8))+0.0584))/A9</f>
        <v>1.3367006956687735E-2</v>
      </c>
      <c r="E30" s="78">
        <f>IF(AND(B8&gt;=10,B8&lt;=400),(EXP((0.846*LN(B8))+0.0584))/A9,"Dureté hors limite")</f>
        <v>1.3367006956687735E-2</v>
      </c>
      <c r="F30" s="150" t="s">
        <v>21</v>
      </c>
      <c r="G30" s="78">
        <f>2*(EXP((0.846*LN(B8))+2.255))/A9</f>
        <v>0.2404558950076878</v>
      </c>
      <c r="H30" s="79">
        <f>IF(AND(B8&gt;=10,B8&lt;=400),2*(EXP((0.846*LN(B8))+2.255))/A9,"Dureté hors limite")</f>
        <v>0.2404558950076878</v>
      </c>
      <c r="I30" s="80">
        <f>IF(AND(B8&gt;=10,B8&lt;=400),(EXP((0.846*LN(B8))+2.255))/A9,"Dureté hors limite")</f>
        <v>0.1202279475038439</v>
      </c>
      <c r="J30" s="102">
        <f>IF($A$12="µg/l",4600,4.6)</f>
        <v>4.5999999999999996</v>
      </c>
      <c r="K30" s="41">
        <f>IF($A$12="µg/l",8.3,0.0083)</f>
        <v>8.3000000000000001E-3</v>
      </c>
      <c r="L30" s="41" t="s">
        <v>21</v>
      </c>
      <c r="M30" s="41">
        <f>IF($A$12="µg/l",150,0.15)</f>
        <v>0.15</v>
      </c>
      <c r="N30" s="101">
        <f>IF($A$12="µg/l",75,0.075)</f>
        <v>7.4999999999999997E-2</v>
      </c>
      <c r="O30" s="2"/>
    </row>
    <row r="31" spans="1:15" ht="20.25" customHeight="1" x14ac:dyDescent="0.25">
      <c r="A31" s="144" t="s">
        <v>15</v>
      </c>
      <c r="B31" s="145">
        <f>IF($A$12="µg/l",10,0.01)</f>
        <v>0.01</v>
      </c>
      <c r="C31" s="146" t="s">
        <v>21</v>
      </c>
      <c r="D31" s="65">
        <f>(EXP((1.273*LN(B8))-4.705))/A9</f>
        <v>4.1006778004437113E-4</v>
      </c>
      <c r="E31" s="65">
        <f>IF(AND(B8&gt;=10,B8&lt;=400),(EXP((1.273*LN(B8))-4.705))/A9,"Dureté hors limite")</f>
        <v>4.1006778004437113E-4</v>
      </c>
      <c r="F31" s="150" t="s">
        <v>21</v>
      </c>
      <c r="G31" s="81">
        <f>2*(EXP((1.273*LN(B8))-1.46))/A9</f>
        <v>2.1046080953080221E-2</v>
      </c>
      <c r="H31" s="78">
        <f>IF(AND(B8&gt;=10,B8&lt;=400),2*(EXP((1.273*LN(B8))-1.46))/A9,"Dureté hors limite")</f>
        <v>2.1046080953080221E-2</v>
      </c>
      <c r="I31" s="82">
        <f>IF(AND(B8&gt;=10,B8&lt;=400),(EXP((1.273*LN(B8))-1.46))/A9,"Dureté hors limite")</f>
        <v>1.052304047654011E-2</v>
      </c>
      <c r="J31" s="142" t="s">
        <v>21</v>
      </c>
      <c r="K31" s="41">
        <f>IF($A$12="µg/l",8.5,0.0085)</f>
        <v>8.5000000000000006E-3</v>
      </c>
      <c r="L31" s="41" t="s">
        <v>21</v>
      </c>
      <c r="M31" s="41">
        <f>IF($A$12="µg/l",440,0.44)</f>
        <v>0.44</v>
      </c>
      <c r="N31" s="101">
        <f>IF($A$12="µg/l",220,0.22)</f>
        <v>0.22</v>
      </c>
      <c r="O31" s="2"/>
    </row>
    <row r="32" spans="1:15" ht="20.25" customHeight="1" x14ac:dyDescent="0.25">
      <c r="A32" s="144" t="s">
        <v>16</v>
      </c>
      <c r="B32" s="145">
        <f>IF($A$12="µg/l",10,0.01)</f>
        <v>0.01</v>
      </c>
      <c r="C32" s="146">
        <f>IF($A$12="µg/l",4200,4.2)</f>
        <v>4.2</v>
      </c>
      <c r="D32" s="60">
        <f>IF($A$12="µg/l",5,0.005)</f>
        <v>5.0000000000000001E-3</v>
      </c>
      <c r="E32" s="60">
        <f>IF($A$12="µg/l",5,0.005)</f>
        <v>5.0000000000000001E-3</v>
      </c>
      <c r="F32" s="150" t="s">
        <v>21</v>
      </c>
      <c r="G32" s="60">
        <f>IF($A$12="µg/l",40,0.04)</f>
        <v>0.04</v>
      </c>
      <c r="H32" s="60">
        <f>IF($A$12="µg/l",120,0.12)</f>
        <v>0.12</v>
      </c>
      <c r="I32" s="74">
        <f>IF($A$12="µg/l",62,0.062)</f>
        <v>6.2E-2</v>
      </c>
      <c r="J32" s="102">
        <f>IF($A$12="µg/l",4200,4.2)</f>
        <v>4.2</v>
      </c>
      <c r="K32" s="41">
        <f>IF($A$12="µg/l",71,0.071)</f>
        <v>7.0999999999999994E-2</v>
      </c>
      <c r="L32" s="41" t="s">
        <v>21</v>
      </c>
      <c r="M32" s="41">
        <f>IF($A$12="µg/l",600,0.6)</f>
        <v>0.6</v>
      </c>
      <c r="N32" s="101">
        <f>IF($A$12="µg/l",300,0.3)</f>
        <v>0.3</v>
      </c>
      <c r="O32" s="2"/>
    </row>
    <row r="33" spans="1:15" ht="20.25" customHeight="1" x14ac:dyDescent="0.25">
      <c r="A33" s="144" t="s">
        <v>30</v>
      </c>
      <c r="B33" s="145">
        <f>IF($A$12="µg/l",4000,4)</f>
        <v>4</v>
      </c>
      <c r="C33" s="146" t="s">
        <v>21</v>
      </c>
      <c r="D33" s="60" t="s">
        <v>21</v>
      </c>
      <c r="E33" s="60">
        <f>IF($A$12="µg/l",21000,21)</f>
        <v>21</v>
      </c>
      <c r="F33" s="150" t="s">
        <v>21</v>
      </c>
      <c r="G33" s="61" t="s">
        <v>21</v>
      </c>
      <c r="H33" s="60">
        <f>IF($A$12="µg/l",81000,81)</f>
        <v>81</v>
      </c>
      <c r="I33" s="74">
        <f>IF($A$12="µg/l",40000,40)</f>
        <v>40</v>
      </c>
      <c r="J33" s="102" t="s">
        <v>21</v>
      </c>
      <c r="K33" s="42" t="s">
        <v>21</v>
      </c>
      <c r="L33" s="42" t="s">
        <v>21</v>
      </c>
      <c r="M33" s="42" t="s">
        <v>21</v>
      </c>
      <c r="N33" s="103" t="s">
        <v>21</v>
      </c>
      <c r="O33" s="2"/>
    </row>
    <row r="34" spans="1:15" ht="20.25" customHeight="1" x14ac:dyDescent="0.25">
      <c r="A34" s="144" t="s">
        <v>27</v>
      </c>
      <c r="B34" s="145">
        <f>IF($A$12="µg/l",0.24,0.00024)</f>
        <v>2.4000000000000001E-4</v>
      </c>
      <c r="C34" s="146">
        <f>IF($A$12="µg/l",0.47,0.00047)</f>
        <v>4.6999999999999999E-4</v>
      </c>
      <c r="D34" s="60">
        <f>IF($A$12="µg/l",8,0.008)</f>
        <v>8.0000000000000002E-3</v>
      </c>
      <c r="E34" s="60">
        <f>IF($A$12="µg/l",7.2,0.0072)</f>
        <v>7.1999999999999998E-3</v>
      </c>
      <c r="F34" s="150" t="s">
        <v>21</v>
      </c>
      <c r="G34" s="60">
        <f>IF($A$12="µg/l",20,0.02)</f>
        <v>0.02</v>
      </c>
      <c r="H34" s="60">
        <f>IF($A$12="µg/l",94,0.094)</f>
        <v>9.4E-2</v>
      </c>
      <c r="I34" s="74">
        <f>IF($A$12="µg/l",47,0.047)</f>
        <v>4.7E-2</v>
      </c>
      <c r="J34" s="102">
        <f>IF($A$12="µg/l",0.47,0.00047)</f>
        <v>4.6999999999999999E-4</v>
      </c>
      <c r="K34" s="42" t="s">
        <v>21</v>
      </c>
      <c r="L34" s="42" t="s">
        <v>21</v>
      </c>
      <c r="M34" s="42" t="s">
        <v>21</v>
      </c>
      <c r="N34" s="103" t="s">
        <v>21</v>
      </c>
      <c r="O34" s="2"/>
    </row>
    <row r="35" spans="1:15" ht="20.25" customHeight="1" x14ac:dyDescent="0.25">
      <c r="A35" s="144" t="s">
        <v>28</v>
      </c>
      <c r="B35" s="145">
        <f>IF($A$12="µg/l",20,0.02)</f>
        <v>0.02</v>
      </c>
      <c r="C35" s="146" t="s">
        <v>21</v>
      </c>
      <c r="D35" s="63" t="s">
        <v>21</v>
      </c>
      <c r="E35" s="150">
        <f>IF(AND(B8&gt;=10,B8&lt;=100),IF(A12="mg/l",0.014,14),IF(AND(B8&gt;100,B8&lt;=400),IF(A12="mg/l",0.1,100),"Dureté hors limite"))</f>
        <v>1.4E-2</v>
      </c>
      <c r="F35" s="150" t="s">
        <v>21</v>
      </c>
      <c r="G35" s="64" t="s">
        <v>21</v>
      </c>
      <c r="H35" s="150">
        <f>IF(AND(B8&gt;=10,B8&lt;=100),IF(A12="mg/l",0.64,640),IF(AND(B8&gt;100,B8&lt;=400),IF(A12="mg/l",4.6,4600),"Dureté hors limite"))</f>
        <v>0.64</v>
      </c>
      <c r="I35" s="151">
        <f>IF(AND(B8&gt;=10,B8&lt;=100),IF(A12="mg/l",0.32,320),IF(AND(B8&gt;100,B8&lt;=400),IF(A12="mg/l",2.3,2300),"Dureté hors limite"))</f>
        <v>0.32</v>
      </c>
      <c r="J35" s="102" t="s">
        <v>21</v>
      </c>
      <c r="K35" s="42" t="s">
        <v>21</v>
      </c>
      <c r="L35" s="42" t="s">
        <v>21</v>
      </c>
      <c r="M35" s="42" t="s">
        <v>21</v>
      </c>
      <c r="N35" s="103" t="s">
        <v>21</v>
      </c>
      <c r="O35" s="2"/>
    </row>
    <row r="36" spans="1:15" ht="20.25" customHeight="1" x14ac:dyDescent="0.25">
      <c r="A36" s="144" t="s">
        <v>29</v>
      </c>
      <c r="B36" s="145">
        <f>IF($A$12="µg/l",220,0.22)</f>
        <v>0.22</v>
      </c>
      <c r="C36" s="146" t="s">
        <v>21</v>
      </c>
      <c r="D36" s="60">
        <f>IF($A$12="µg/l",8,0.008)</f>
        <v>8.0000000000000002E-3</v>
      </c>
      <c r="E36" s="60">
        <f>IF($A$12="µg/l",12,0.012)</f>
        <v>1.2E-2</v>
      </c>
      <c r="F36" s="150" t="s">
        <v>21</v>
      </c>
      <c r="G36" s="60">
        <f>IF($A$12="µg/l",190,0.19)</f>
        <v>0.19</v>
      </c>
      <c r="H36" s="60">
        <f>IF($A$12="µg/l",220,0.22)</f>
        <v>0.22</v>
      </c>
      <c r="I36" s="74">
        <f>IF($A$12="µg/l",110,0.11)</f>
        <v>0.11</v>
      </c>
      <c r="J36" s="142" t="s">
        <v>21</v>
      </c>
      <c r="K36" s="42" t="s">
        <v>21</v>
      </c>
      <c r="L36" s="42" t="s">
        <v>21</v>
      </c>
      <c r="M36" s="42" t="s">
        <v>21</v>
      </c>
      <c r="N36" s="103" t="s">
        <v>21</v>
      </c>
      <c r="O36" s="2"/>
    </row>
    <row r="37" spans="1:15" ht="20.25" customHeight="1" thickBot="1" x14ac:dyDescent="0.3">
      <c r="A37" s="147" t="s">
        <v>17</v>
      </c>
      <c r="B37" s="148" t="str">
        <f>IF($A$12="µg/l","500 et 7400","5,0 et 7,4")</f>
        <v>5,0 et 7,4</v>
      </c>
      <c r="C37" s="149">
        <f>IF($A$12="µg/l",26000,26)</f>
        <v>26</v>
      </c>
      <c r="D37" s="75">
        <f>(EXP((0.8473*LN(B8))+0.884))/A9</f>
        <v>3.0639313993703215E-2</v>
      </c>
      <c r="E37" s="75">
        <f>IF(AND(B8&gt;=10,B8&lt;=400),(EXP((0.8473*LN(B8))+0.884))/A9,"Dureté hors limite")</f>
        <v>3.0639313993703215E-2</v>
      </c>
      <c r="F37" s="149" t="s">
        <v>21</v>
      </c>
      <c r="G37" s="76">
        <f>2*(EXP((0.8473*LN(B8))+0.884))/A9</f>
        <v>6.127862798740643E-2</v>
      </c>
      <c r="H37" s="75">
        <f>IF(AND(B8&gt;=10,B8&lt;=400),2*(EXP((0.8473*LN(B8))+0.884))/A9,"Dureté hors limite")</f>
        <v>6.127862798740643E-2</v>
      </c>
      <c r="I37" s="77">
        <f>IF(AND(B8&gt;=10,B8&lt;=400),(EXP((0.8473*LN(B8))+0.884))/A9,"Dureté hors limite")</f>
        <v>3.0639313993703215E-2</v>
      </c>
      <c r="J37" s="112">
        <f>IF($A$12="µg/l",26000,26)</f>
        <v>26</v>
      </c>
      <c r="K37" s="43">
        <f>IF($A$12="µg/l",86,0.086)</f>
        <v>8.5999999999999993E-2</v>
      </c>
      <c r="L37" s="43" t="s">
        <v>21</v>
      </c>
      <c r="M37" s="43">
        <f>IF($A$12="µg/l",190,0.19)</f>
        <v>0.19</v>
      </c>
      <c r="N37" s="113">
        <f>IF($A$12="µg/l",95,0.095)</f>
        <v>9.5000000000000001E-2</v>
      </c>
      <c r="O37" s="2"/>
    </row>
    <row r="38" spans="1:15" ht="19.5" customHeight="1" thickTop="1" x14ac:dyDescent="0.25">
      <c r="A38" s="2"/>
      <c r="B38" s="2"/>
      <c r="C38" s="2"/>
      <c r="D38" s="2"/>
      <c r="E38" s="2"/>
      <c r="F38" s="2"/>
      <c r="G38" s="2"/>
      <c r="H38" s="2"/>
      <c r="I38" s="2"/>
      <c r="J38" s="5"/>
      <c r="K38" s="6"/>
      <c r="L38" s="6"/>
      <c r="M38" s="6"/>
      <c r="N38" s="6"/>
      <c r="O38" s="2"/>
    </row>
    <row r="39" spans="1:15" ht="20.100000000000001" customHeight="1" x14ac:dyDescent="0.25">
      <c r="A39" s="91"/>
      <c r="B39" s="90" t="s">
        <v>76</v>
      </c>
      <c r="C39" s="90"/>
      <c r="D39" s="90"/>
      <c r="E39" s="90"/>
      <c r="F39" s="2"/>
      <c r="G39" s="2"/>
      <c r="H39" s="2"/>
      <c r="I39" s="2"/>
      <c r="J39" s="5"/>
      <c r="K39" s="5"/>
      <c r="L39" s="5"/>
      <c r="M39" s="5"/>
      <c r="N39" s="5"/>
    </row>
    <row r="40" spans="1:15" ht="20.100000000000001" customHeight="1" x14ac:dyDescent="0.25">
      <c r="B40" s="90" t="s">
        <v>89</v>
      </c>
      <c r="C40" s="94"/>
      <c r="D40" s="94"/>
      <c r="E40" s="94"/>
      <c r="F40" s="5"/>
      <c r="G40" s="5"/>
      <c r="H40" s="5"/>
      <c r="I40" s="5"/>
      <c r="J40" s="5"/>
      <c r="K40" s="5"/>
      <c r="L40" s="5"/>
      <c r="M40" s="5"/>
      <c r="N40" s="5"/>
    </row>
    <row r="41" spans="1:15" x14ac:dyDescent="0.25">
      <c r="D41" s="10"/>
      <c r="E41" s="10"/>
      <c r="F41" s="10"/>
      <c r="G41" s="10"/>
      <c r="H41" s="10"/>
    </row>
    <row r="42" spans="1:15" ht="15" x14ac:dyDescent="0.25">
      <c r="A42" s="12" t="s">
        <v>75</v>
      </c>
      <c r="B42" s="12"/>
      <c r="C42" s="12"/>
      <c r="D42" s="12"/>
      <c r="E42" s="93" t="s">
        <v>92</v>
      </c>
      <c r="F42" s="12"/>
      <c r="I42" s="169"/>
      <c r="J42" s="170"/>
    </row>
  </sheetData>
  <sheetProtection algorithmName="SHA-512" hashValue="rRyGsSB+IQgDdmfbQZdaGcBQeYiWIWi8DA/IjEWqE1GYb+4tN3G7XUE9f2bPVqDdTq/loRA2Hy7giwX56t4QLw==" saltValue="XqSARxTpqN1wFEcHH/Ew7w==" spinCount="100000" sheet="1"/>
  <mergeCells count="7">
    <mergeCell ref="I42:J42"/>
    <mergeCell ref="J6:N6"/>
    <mergeCell ref="A3:N3"/>
    <mergeCell ref="A1:N1"/>
    <mergeCell ref="B9:N9"/>
    <mergeCell ref="B6:I6"/>
    <mergeCell ref="C7:H7"/>
  </mergeCells>
  <phoneticPr fontId="0" type="noConversion"/>
  <conditionalFormatting sqref="H15:I15 H17:I18 H20:I21 E17:E18 E20:E21 E24 E27 H24:I24 H27:I27 H30:I31 E30:E31 E35 E37 H37:I37 H35:I35">
    <cfRule type="cellIs" dxfId="1" priority="1" stopIfTrue="1" operator="equal">
      <formula>"Dureté hors limite"</formula>
    </cfRule>
  </conditionalFormatting>
  <dataValidations count="1">
    <dataValidation type="list" showInputMessage="1" showErrorMessage="1" sqref="A12" xr:uid="{00000000-0002-0000-0100-000000000000}">
      <formula1>"mg/L,µg/L"</formula1>
    </dataValidation>
  </dataValidations>
  <hyperlinks>
    <hyperlink ref="C41:H41" r:id="rId1" display=" Terminologie recommandée pour l'analyse des métaux (CEAEQ, MDDEFP)" xr:uid="{00000000-0004-0000-0100-000000000000}"/>
    <hyperlink ref="I4" r:id="rId2" display=" Terminologie recommandée pour l'analyse des métaux (CEAEQ, MDDEFP)" xr:uid="{00000000-0004-0000-0100-000001000000}"/>
    <hyperlink ref="E42" r:id="rId3" xr:uid="{00000000-0004-0000-0100-000002000000}"/>
  </hyperlinks>
  <printOptions horizontalCentered="1" verticalCentered="1"/>
  <pageMargins left="0.70866141732283472" right="0.70866141732283472" top="0.74803149606299213" bottom="0.19685039370078741" header="0.31496062992125984" footer="0.31496062992125984"/>
  <pageSetup scale="48" orientation="landscape" r:id="rId4"/>
  <headerFooter alignWithMargins="0"/>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G22"/>
  <sheetViews>
    <sheetView showGridLines="0" showRowColHeaders="0" zoomScale="96" zoomScaleNormal="96" workbookViewId="0">
      <selection activeCell="B16" sqref="B16:D16"/>
    </sheetView>
  </sheetViews>
  <sheetFormatPr baseColWidth="10" defaultColWidth="11.44140625" defaultRowHeight="13.2" x14ac:dyDescent="0.25"/>
  <cols>
    <col min="1" max="1" width="25.6640625" customWidth="1"/>
    <col min="2" max="2" width="9" customWidth="1"/>
    <col min="3" max="3" width="25" customWidth="1"/>
    <col min="4" max="6" width="32.6640625" customWidth="1"/>
  </cols>
  <sheetData>
    <row r="1" spans="1:7" ht="42.75" customHeight="1" thickBot="1" x14ac:dyDescent="0.3">
      <c r="A1" s="185" t="s">
        <v>73</v>
      </c>
      <c r="B1" s="185"/>
      <c r="C1" s="185"/>
      <c r="D1" s="185"/>
      <c r="E1" s="185"/>
      <c r="F1" s="185"/>
    </row>
    <row r="2" spans="1:7" s="40" customFormat="1" ht="29.25" customHeight="1" thickTop="1" x14ac:dyDescent="0.25">
      <c r="A2" s="115"/>
      <c r="B2" s="191" t="s">
        <v>1</v>
      </c>
      <c r="C2" s="192"/>
      <c r="D2" s="193"/>
      <c r="E2" s="194" t="s">
        <v>2</v>
      </c>
      <c r="F2" s="195"/>
    </row>
    <row r="3" spans="1:7" s="40" customFormat="1" ht="50.25" customHeight="1" thickBot="1" x14ac:dyDescent="0.3">
      <c r="A3" s="116"/>
      <c r="B3" s="182" t="s">
        <v>79</v>
      </c>
      <c r="C3" s="183"/>
      <c r="D3" s="117" t="s">
        <v>80</v>
      </c>
      <c r="E3" s="118" t="s">
        <v>81</v>
      </c>
      <c r="F3" s="119" t="s">
        <v>82</v>
      </c>
    </row>
    <row r="4" spans="1:7" ht="20.100000000000001" customHeight="1" thickTop="1" x14ac:dyDescent="0.25">
      <c r="A4" s="120" t="s">
        <v>5</v>
      </c>
      <c r="B4" s="204"/>
      <c r="C4" s="205"/>
      <c r="D4" s="121">
        <v>0.85</v>
      </c>
      <c r="E4" s="122"/>
      <c r="F4" s="123">
        <v>0.85</v>
      </c>
    </row>
    <row r="5" spans="1:7" ht="20.100000000000001" customHeight="1" x14ac:dyDescent="0.25">
      <c r="A5" s="124" t="s">
        <v>8</v>
      </c>
      <c r="B5" s="200">
        <f>(IF(AND(B15&gt;=10,B15&lt;=400),IF((1.101672-((LN(B15))*(0.041838)))&gt;1,1,(1.101672-((LN(B15))*(0.041838)))),"dureté hors limite"))</f>
        <v>0.9763365531390481</v>
      </c>
      <c r="C5" s="201"/>
      <c r="D5" s="125">
        <f>(IF(AND(B15&gt;=10,B15&lt;=400),IF((1.136672-((LN(B15))*(0.041838)))&gt;1,1,(1.136672-((LN(B15))*(0.041838)))),"dureté hors limite"))</f>
        <v>1</v>
      </c>
      <c r="E5" s="122"/>
      <c r="F5" s="123"/>
    </row>
    <row r="6" spans="1:7" ht="20.100000000000001" customHeight="1" x14ac:dyDescent="0.25">
      <c r="A6" s="126" t="s">
        <v>9</v>
      </c>
      <c r="B6" s="196">
        <v>0.86</v>
      </c>
      <c r="C6" s="197"/>
      <c r="D6" s="127">
        <v>0.316</v>
      </c>
      <c r="E6" s="122"/>
      <c r="F6" s="123"/>
    </row>
    <row r="7" spans="1:7" ht="20.100000000000001" customHeight="1" x14ac:dyDescent="0.25">
      <c r="A7" s="126" t="s">
        <v>10</v>
      </c>
      <c r="B7" s="189">
        <v>0.96199999999999997</v>
      </c>
      <c r="C7" s="190"/>
      <c r="D7" s="128">
        <v>0.98199999999999998</v>
      </c>
      <c r="E7" s="122">
        <v>0.99299999999999999</v>
      </c>
      <c r="F7" s="123">
        <v>0.99299999999999999</v>
      </c>
    </row>
    <row r="8" spans="1:7" ht="20.100000000000001" customHeight="1" x14ac:dyDescent="0.25">
      <c r="A8" s="126" t="s">
        <v>11</v>
      </c>
      <c r="B8" s="196">
        <v>0.96</v>
      </c>
      <c r="C8" s="197"/>
      <c r="D8" s="129">
        <v>0.96</v>
      </c>
      <c r="E8" s="122">
        <v>0.83</v>
      </c>
      <c r="F8" s="123">
        <v>0.83</v>
      </c>
    </row>
    <row r="9" spans="1:7" ht="20.100000000000001" customHeight="1" x14ac:dyDescent="0.25">
      <c r="A9" s="126" t="s">
        <v>13</v>
      </c>
      <c r="B9" s="189">
        <v>0.85</v>
      </c>
      <c r="C9" s="190"/>
      <c r="D9" s="128">
        <v>0.85</v>
      </c>
      <c r="E9" s="122">
        <v>0.85</v>
      </c>
      <c r="F9" s="123">
        <v>0.85</v>
      </c>
    </row>
    <row r="10" spans="1:7" ht="20.100000000000001" customHeight="1" x14ac:dyDescent="0.25">
      <c r="A10" s="126" t="s">
        <v>14</v>
      </c>
      <c r="B10" s="202">
        <v>0.997</v>
      </c>
      <c r="C10" s="203"/>
      <c r="D10" s="127">
        <v>0.998</v>
      </c>
      <c r="E10" s="122">
        <v>0.997</v>
      </c>
      <c r="F10" s="123">
        <v>0.998</v>
      </c>
    </row>
    <row r="11" spans="1:7" ht="20.100000000000001" customHeight="1" x14ac:dyDescent="0.25">
      <c r="A11" s="124" t="s">
        <v>15</v>
      </c>
      <c r="B11" s="200">
        <f>(IF(AND(B15&gt;=10,B15&lt;=400),IF((1.46203-((LN(B15))*(0.145712)))&gt;1,1,(1.46203-((LN(B15))*(0.145712)))),"dureté hors limite"))</f>
        <v>1</v>
      </c>
      <c r="C11" s="201"/>
      <c r="D11" s="125">
        <f>(IF(AND(B15&gt;=10,B15&lt;=400),IF((1.46203-((LN(B15))*(0.145712)))&gt;1,1,(1.46203-((LN(B15))*(0.145712)))),"dureté hors limite"))</f>
        <v>1</v>
      </c>
      <c r="E11" s="122">
        <v>0.95099999999999996</v>
      </c>
      <c r="F11" s="123">
        <v>0.95099999999999996</v>
      </c>
    </row>
    <row r="12" spans="1:7" ht="20.100000000000001" customHeight="1" x14ac:dyDescent="0.25">
      <c r="A12" s="126" t="s">
        <v>16</v>
      </c>
      <c r="B12" s="189">
        <v>0.92200000000000004</v>
      </c>
      <c r="C12" s="190"/>
      <c r="D12" s="128"/>
      <c r="E12" s="122">
        <v>0.998</v>
      </c>
      <c r="F12" s="123">
        <v>0.998</v>
      </c>
    </row>
    <row r="13" spans="1:7" ht="20.100000000000001" customHeight="1" thickBot="1" x14ac:dyDescent="0.3">
      <c r="A13" s="130" t="s">
        <v>17</v>
      </c>
      <c r="B13" s="198">
        <v>0.98599999999999999</v>
      </c>
      <c r="C13" s="199"/>
      <c r="D13" s="131">
        <v>0.97799999999999998</v>
      </c>
      <c r="E13" s="132">
        <v>0.94599999999999995</v>
      </c>
      <c r="F13" s="133">
        <v>0.94599999999999995</v>
      </c>
    </row>
    <row r="14" spans="1:7" ht="19.5" customHeight="1" thickTop="1" thickBot="1" x14ac:dyDescent="0.3">
      <c r="A14" s="134"/>
      <c r="B14" s="5"/>
      <c r="C14" s="5"/>
      <c r="D14" s="5"/>
      <c r="E14" s="5"/>
      <c r="F14" s="5"/>
      <c r="G14" s="2"/>
    </row>
    <row r="15" spans="1:7" ht="34.5" customHeight="1" thickBot="1" x14ac:dyDescent="0.3">
      <c r="A15" s="135"/>
      <c r="B15" s="67">
        <v>20</v>
      </c>
      <c r="C15" s="188" t="s">
        <v>84</v>
      </c>
      <c r="D15" s="188"/>
      <c r="E15" s="2"/>
    </row>
    <row r="16" spans="1:7" s="40" customFormat="1" ht="33" customHeight="1" x14ac:dyDescent="0.25">
      <c r="A16" s="136"/>
      <c r="B16" s="186" t="s">
        <v>86</v>
      </c>
      <c r="C16" s="187"/>
      <c r="D16" s="187"/>
      <c r="E16" s="137"/>
      <c r="F16" s="137"/>
    </row>
    <row r="17" spans="1:6" s="40" customFormat="1" ht="20.100000000000001" customHeight="1" x14ac:dyDescent="0.25">
      <c r="A17" s="138"/>
      <c r="B17" s="139" t="s">
        <v>74</v>
      </c>
      <c r="C17" s="11"/>
      <c r="D17" s="140"/>
      <c r="E17" s="140"/>
      <c r="F17" s="140"/>
    </row>
    <row r="18" spans="1:6" x14ac:dyDescent="0.25">
      <c r="C18" s="141"/>
      <c r="D18" s="141"/>
      <c r="E18" s="141"/>
      <c r="F18" s="141"/>
    </row>
    <row r="19" spans="1:6" ht="15" x14ac:dyDescent="0.25">
      <c r="A19" s="2" t="s">
        <v>87</v>
      </c>
    </row>
    <row r="21" spans="1:6" ht="15" x14ac:dyDescent="0.25">
      <c r="A21" s="12" t="s">
        <v>78</v>
      </c>
      <c r="B21" s="12"/>
      <c r="C21" s="12"/>
      <c r="D21" s="93" t="s">
        <v>92</v>
      </c>
      <c r="E21" s="12"/>
    </row>
    <row r="22" spans="1:6" ht="15" x14ac:dyDescent="0.25">
      <c r="A22" s="184"/>
      <c r="B22" s="184"/>
      <c r="C22" s="184"/>
    </row>
  </sheetData>
  <sheetProtection algorithmName="SHA-512" hashValue="L1duhiqJ1lXVvp9sHcXADyc4kOVTQxOegIPt+BN00Uwht/uekJ3cHDoRmTY28hbj9FjW7yIJbwWnIMkQ8YZO0w==" saltValue="w1X7nJydRQkNu64vFUxQdA==" spinCount="100000" sheet="1" objects="1" scenarios="1"/>
  <mergeCells count="17">
    <mergeCell ref="B4:C4"/>
    <mergeCell ref="B3:C3"/>
    <mergeCell ref="A22:C22"/>
    <mergeCell ref="A1:F1"/>
    <mergeCell ref="B16:D16"/>
    <mergeCell ref="C15:D15"/>
    <mergeCell ref="B9:C9"/>
    <mergeCell ref="B2:D2"/>
    <mergeCell ref="E2:F2"/>
    <mergeCell ref="B7:C7"/>
    <mergeCell ref="B8:C8"/>
    <mergeCell ref="B13:C13"/>
    <mergeCell ref="B12:C12"/>
    <mergeCell ref="B11:C11"/>
    <mergeCell ref="B10:C10"/>
    <mergeCell ref="B6:C6"/>
    <mergeCell ref="B5:C5"/>
  </mergeCells>
  <phoneticPr fontId="0" type="noConversion"/>
  <conditionalFormatting sqref="B5:D5 B11:D11">
    <cfRule type="cellIs" dxfId="0" priority="1" stopIfTrue="1" operator="equal">
      <formula>"dureté hors limite"</formula>
    </cfRule>
  </conditionalFormatting>
  <hyperlinks>
    <hyperlink ref="D21" r:id="rId1" xr:uid="{00000000-0004-0000-0200-000000000000}"/>
  </hyperlinks>
  <printOptions horizontalCentered="1" verticalCentered="1"/>
  <pageMargins left="0.39370078740157483" right="0.39370078740157483" top="0.59055118110236227" bottom="0.59055118110236227" header="0.31496062992125984" footer="0.31496062992125984"/>
  <pageSetup scale="79"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Instructions</vt:lpstr>
      <vt:lpstr>Tableau CQES</vt:lpstr>
      <vt:lpstr>Facteurs de conversion dissous</vt:lpstr>
      <vt:lpstr>Dureté</vt:lpstr>
      <vt:lpstr>'Facteurs de conversion dissous'!Zone_d_impression</vt:lpstr>
      <vt:lpstr>Instructions!Zone_d_impression</vt:lpstr>
      <vt:lpstr>'Tableau CQES'!Zone_d_impression</vt:lpstr>
    </vt:vector>
  </TitlesOfParts>
  <Manager>France Pelletier</Manager>
  <Company>MDDEFP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CQES</dc:title>
  <dc:subject>Calcul des critères de qualité des eaux de surface</dc:subject>
  <dc:creator>MDDEFP - SAVEX</dc:creator>
  <cp:keywords>Calcul, critère, CQES, eau, surface, métaux, dureté</cp:keywords>
  <dc:description>Version du 2013-09-23</dc:description>
  <cp:lastModifiedBy>Guillemin, Christelle</cp:lastModifiedBy>
  <cp:lastPrinted>2017-05-29T21:20:06Z</cp:lastPrinted>
  <dcterms:created xsi:type="dcterms:W3CDTF">2006-11-16T15:28:22Z</dcterms:created>
  <dcterms:modified xsi:type="dcterms:W3CDTF">2023-04-18T13:26:01Z</dcterms:modified>
  <cp:category>Outil de calcul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ReviewCycleID">
    <vt:i4>-1896975595</vt:i4>
  </property>
  <property fmtid="{D5CDD505-2E9C-101B-9397-08002B2CF9AE}" pid="3" name="_EmailEntryID">
    <vt:lpwstr>00000000310ED711D05DD611B66700508B6D3592070098E8FAA69520D511B65D00508B6D35920000069B29EF0000C56094360575794DB4B6766C3C1B6F6600028312F6480000</vt:lpwstr>
  </property>
  <property fmtid="{D5CDD505-2E9C-101B-9397-08002B2CF9AE}" pid="4" name="_EmailStoreID">
    <vt:lpwstr>0000000038A1BB1005E5101AA1BB08002B2A56C20000454D534D44422E444C4C00000000000000001B55FA20AA6611CD9BC800AA002FC45A0C0000005330304D534739002F6F3D4D45462F6F753D4D454630302F636E3D6D656E762F636E3D64676565632F636E3D6265726D61303400</vt:lpwstr>
  </property>
</Properties>
</file>